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тог" sheetId="1" state="visible" r:id="rId3"/>
    <sheet name="Допущения" sheetId="2" state="visible" r:id="rId4"/>
    <sheet name="Артикулы" sheetId="3" state="visible" r:id="rId5"/>
    <sheet name="По неделям" sheetId="4" state="visible" r:id="rId6"/>
    <sheet name="Как считали" sheetId="5" state="visible" r:id="rId7"/>
  </sheets>
  <definedNames>
    <definedName function="false" hidden="true" localSheetId="2" name="_xlnm._FilterDatabase" vbProcedure="false">Артикулы!$A$5:$AF$45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O5" authorId="0">
      <text>
        <r>
          <rPr>
            <sz val="10"/>
            <rFont val="Arial"/>
            <family val="2"/>
          </rPr>
          <t xml:space="preserve">Себестоимость за штуку — от клиента. Поменяйте — пересчитается прибыль и все суммы на листе «Итог».</t>
        </r>
      </text>
    </comment>
    <comment ref="R5" authorId="0">
      <text>
        <r>
          <rPr>
            <sz val="10"/>
            <rFont val="Arial"/>
            <family val="2"/>
          </rPr>
          <t xml:space="preserve">Посчитано той же формулой по неделям 02.03–25.05.2026 (весна).</t>
        </r>
      </text>
    </comment>
    <comment ref="AB5" authorId="0">
      <text>
        <r>
          <rPr>
            <sz val="10"/>
            <rFont val="Arial"/>
            <family val="2"/>
          </rPr>
          <t xml:space="preserve">Логистика к покупателю × доля невыкупленных штук (оценка) + обратная логистика (из отчёта).</t>
        </r>
      </text>
    </comment>
  </commentList>
</comments>
</file>

<file path=xl/sharedStrings.xml><?xml version="1.0" encoding="utf-8"?>
<sst xmlns="http://schemas.openxmlformats.org/spreadsheetml/2006/main" count="308" uniqueCount="223">
  <si>
    <t xml:space="preserve">FOLLOW THE DATA · ЭКСПРЕСС-РАЗБОР · ДЕМО-ДАННЫЕ</t>
  </si>
  <si>
    <t xml:space="preserve">Экспресс-разбор: кабинет WB, лето 01.06–30.08.2026</t>
  </si>
  <si>
    <t xml:space="preserve">Все суммы — формулы от листов «Артикулы», «По неделям» и «Допущения». Меняете себестоимость или ставки — пересчитается.</t>
  </si>
  <si>
    <t xml:space="preserve">Ключевые цифры</t>
  </si>
  <si>
    <t xml:space="preserve">Лето</t>
  </si>
  <si>
    <t xml:space="preserve">Весна</t>
  </si>
  <si>
    <t xml:space="preserve">Изменение</t>
  </si>
  <si>
    <t xml:space="preserve">Выкупы, ₽</t>
  </si>
  <si>
    <t xml:space="preserve">Прибыль после налогов, ₽</t>
  </si>
  <si>
    <t xml:space="preserve">Прибыль, % выкупов</t>
  </si>
  <si>
    <t xml:space="preserve">Комиссия, % выкупов</t>
  </si>
  <si>
    <t xml:space="preserve">Выкуп, % штук</t>
  </si>
  <si>
    <t xml:space="preserve">Реклама, % заказов</t>
  </si>
  <si>
    <t xml:space="preserve">Реклама, % выкупов</t>
  </si>
  <si>
    <t xml:space="preserve">Сверка: лето по неделям = лето по артикулам</t>
  </si>
  <si>
    <t xml:space="preserve">Должно быть 0.</t>
  </si>
  <si>
    <t xml:space="preserve">Почему прибыль упала</t>
  </si>
  <si>
    <t xml:space="preserve">Сумма</t>
  </si>
  <si>
    <t xml:space="preserve">Комиссия выросла</t>
  </si>
  <si>
    <t xml:space="preserve">(доля комиссии летом − весной) × выкупы лета</t>
  </si>
  <si>
    <t xml:space="preserve">Выкупов меньше</t>
  </si>
  <si>
    <t xml:space="preserve">изменение выкупов × весенняя прибыль в % выкупов</t>
  </si>
  <si>
    <t xml:space="preserve">Остальные статьи</t>
  </si>
  <si>
    <t xml:space="preserve">логистика, реклама, себестоимость, хранение — остаток</t>
  </si>
  <si>
    <t xml:space="preserve">Итого изменение прибыли</t>
  </si>
  <si>
    <t xml:space="preserve">7 проверок</t>
  </si>
  <si>
    <t xml:space="preserve">За лето</t>
  </si>
  <si>
    <t xml:space="preserve">Что нашли</t>
  </si>
  <si>
    <t xml:space="preserve">1. Убыточные артикулы</t>
  </si>
  <si>
    <t xml:space="preserve">2. Логистика невыкупов</t>
  </si>
  <si>
    <t xml:space="preserve">3. Реклама на невыкупленные заказы</t>
  </si>
  <si>
    <t xml:space="preserve">4. Залежи: в товаре по себестоимости</t>
  </si>
  <si>
    <t xml:space="preserve">5. Товар закончился</t>
  </si>
  <si>
    <t xml:space="preserve">6. Рост комиссии с даты повышения</t>
  </si>
  <si>
    <t xml:space="preserve">7. Налоги (НДС + УСН)</t>
  </si>
  <si>
    <t xml:space="preserve">Доля комиссии после повышения</t>
  </si>
  <si>
    <t xml:space="preserve">Налоги, % выкупов</t>
  </si>
  <si>
    <t xml:space="preserve">Суммы проверок пересекаются (в минусе убыточных артикулов уже есть их реклама и логистика) — не складывать.</t>
  </si>
  <si>
    <t xml:space="preserve">Три решения, в год</t>
  </si>
  <si>
    <t xml:space="preserve">от</t>
  </si>
  <si>
    <t xml:space="preserve">до</t>
  </si>
  <si>
    <t xml:space="preserve">Выкупы 36 артикулов без низкого выкупа, за лето</t>
  </si>
  <si>
    <t xml:space="preserve">+1% к цене при том же спросе, в год</t>
  </si>
  <si>
    <t xml:space="preserve">выкупы × 1% × (1 − комиссия после повышения − налоги) × 4 квартала</t>
  </si>
  <si>
    <t xml:space="preserve">1. Цены +3–5% на 36 артикулах</t>
  </si>
  <si>
    <t xml:space="preserve">оценка: если спрос не просядет; поднимать по 1–2% и смотреть заказы</t>
  </si>
  <si>
    <t xml:space="preserve">2. Вывести или переделать артикулы с низким выкупом</t>
  </si>
  <si>
    <t xml:space="preserve">из отчёта × 4 квартала; весной эти артикулы дали столько же минуса</t>
  </si>
  <si>
    <t xml:space="preserve">   весной те же артикулы, ₽</t>
  </si>
  <si>
    <t xml:space="preserve">3. Распродать залежи: хранение в год</t>
  </si>
  <si>
    <t xml:space="preserve">оценка: хранение за лето × 4</t>
  </si>
  <si>
    <t xml:space="preserve">   и вернуть деньгами (по себестоимости)</t>
  </si>
  <si>
    <t xml:space="preserve">разово, если продать хотя бы по себестоимости</t>
  </si>
  <si>
    <t xml:space="preserve">Полностью закрыть рост комиссии ценой, % к цене</t>
  </si>
  <si>
    <t xml:space="preserve">рост комиссии в год ÷ эффект +1% цены</t>
  </si>
  <si>
    <t xml:space="preserve">Допущения и ставки</t>
  </si>
  <si>
    <t xml:space="preserve">Синие цифры можно менять — пересчитаются все листы. Жёлтое — уточнить у клиента.</t>
  </si>
  <si>
    <t xml:space="preserve">Параметр</t>
  </si>
  <si>
    <t xml:space="preserve">Значение</t>
  </si>
  <si>
    <t xml:space="preserve">Пояснение</t>
  </si>
  <si>
    <t xml:space="preserve">НДС на УСН</t>
  </si>
  <si>
    <t xml:space="preserve">С 2026 года УСН с доходом больше 20 млн ₽ платит НДС; ставка 5% без вычетов. Уточнить у бухгалтера клиента.</t>
  </si>
  <si>
    <t xml:space="preserve">УСН «доходы»</t>
  </si>
  <si>
    <t xml:space="preserve">Со всей суммы продаж (выкупы), а не с перечисления WB. Уточнить у бухгалтера клиента.</t>
  </si>
  <si>
    <t xml:space="preserve">Дата повышения комиссии WB</t>
  </si>
  <si>
    <t xml:space="preserve">Первая неделя с новой комиссией (в демо-данных: +5 п.п. с 07.07.2026).</t>
  </si>
  <si>
    <t xml:space="preserve">Рост комиссии, п.п.</t>
  </si>
  <si>
    <t xml:space="preserve">В демо-данных.</t>
  </si>
  <si>
    <t xml:space="preserve">Недель в году</t>
  </si>
  <si>
    <t xml:space="preserve">Кварталов в году</t>
  </si>
  <si>
    <t xml:space="preserve">Для перевода суммы за лето в год.</t>
  </si>
  <si>
    <t xml:space="preserve">Порог «низкий выкуп»</t>
  </si>
  <si>
    <t xml:space="preserve">Артикулы с выкупом ниже порога — кандидаты в решение 2.</t>
  </si>
  <si>
    <t xml:space="preserve">Порог «залежи», недель запаса</t>
  </si>
  <si>
    <t xml:space="preserve">Запас = остаток ÷ средние заказы за последние 4 недели.</t>
  </si>
  <si>
    <t xml:space="preserve">Повышение цены, от</t>
  </si>
  <si>
    <t xml:space="preserve">Решение 1: диапазон подъёма цены.</t>
  </si>
  <si>
    <t xml:space="preserve">Повышение цены, до</t>
  </si>
  <si>
    <t xml:space="preserve">Недель в периоде</t>
  </si>
  <si>
    <t xml:space="preserve">01.06–30.08.2026.</t>
  </si>
  <si>
    <t xml:space="preserve">Артикулы: лето 01.06–30.08.2026, кабинет WB</t>
  </si>
  <si>
    <t xml:space="preserve">Синие — из отчёта о реализации и остатков WB; жёлтые — себестоимость от клиента; чёрные — формулы.</t>
  </si>
  <si>
    <t xml:space="preserve">Артикул</t>
  </si>
  <si>
    <t xml:space="preserve">Название</t>
  </si>
  <si>
    <t xml:space="preserve">Категория</t>
  </si>
  <si>
    <t xml:space="preserve">Заказы, шт</t>
  </si>
  <si>
    <t xml:space="preserve">Выкупы, шт</t>
  </si>
  <si>
    <t xml:space="preserve">Заказы, ₽</t>
  </si>
  <si>
    <t xml:space="preserve">Комиссия</t>
  </si>
  <si>
    <t xml:space="preserve">Логистика к покупателю</t>
  </si>
  <si>
    <t xml:space="preserve">Обратная логистика</t>
  </si>
  <si>
    <t xml:space="preserve">Хранение</t>
  </si>
  <si>
    <t xml:space="preserve">Приёмка</t>
  </si>
  <si>
    <t xml:space="preserve">Прочие удержания</t>
  </si>
  <si>
    <t xml:space="preserve">Реклама</t>
  </si>
  <si>
    <t xml:space="preserve">Себестоимость за шт, ₽</t>
  </si>
  <si>
    <t xml:space="preserve">Остаток на 30.08, шт</t>
  </si>
  <si>
    <t xml:space="preserve">Заказы в неделю (посл. 4 нед), шт</t>
  </si>
  <si>
    <t xml:space="preserve">Прибыль весной, ₽</t>
  </si>
  <si>
    <t xml:space="preserve">Себестоимость выкупов</t>
  </si>
  <si>
    <t xml:space="preserve">К перечислению</t>
  </si>
  <si>
    <t xml:space="preserve">НДС</t>
  </si>
  <si>
    <t xml:space="preserve">УСН</t>
  </si>
  <si>
    <t xml:space="preserve">Прибыль после налогов</t>
  </si>
  <si>
    <t xml:space="preserve">Логистика невыкупов (туда и обратно)</t>
  </si>
  <si>
    <t xml:space="preserve">Запас, недель</t>
  </si>
  <si>
    <t xml:space="preserve">В товаре по себестоимости</t>
  </si>
  <si>
    <t xml:space="preserve">Низкий выкуп</t>
  </si>
  <si>
    <t xml:space="preserve">Залежи</t>
  </si>
  <si>
    <t xml:space="preserve">HM-101</t>
  </si>
  <si>
    <t xml:space="preserve">Штора блэкаут 200×270</t>
  </si>
  <si>
    <t xml:space="preserve">Текстиль</t>
  </si>
  <si>
    <t xml:space="preserve">HM-102</t>
  </si>
  <si>
    <t xml:space="preserve">Покрывало велюр 220×240</t>
  </si>
  <si>
    <t xml:space="preserve">HM-103</t>
  </si>
  <si>
    <t xml:space="preserve">Плед плюшевый 150×200</t>
  </si>
  <si>
    <t xml:space="preserve">HM-104</t>
  </si>
  <si>
    <t xml:space="preserve">Ковёр прикроватный 80×150</t>
  </si>
  <si>
    <t xml:space="preserve">Декор</t>
  </si>
  <si>
    <t xml:space="preserve">HM-105</t>
  </si>
  <si>
    <t xml:space="preserve">Комплект наволочек 50×70</t>
  </si>
  <si>
    <t xml:space="preserve">HM-106</t>
  </si>
  <si>
    <t xml:space="preserve">Полотенце махровое 70×140</t>
  </si>
  <si>
    <t xml:space="preserve">Ванная</t>
  </si>
  <si>
    <t xml:space="preserve">HM-107</t>
  </si>
  <si>
    <t xml:space="preserve">Набор полотенец 3 шт</t>
  </si>
  <si>
    <t xml:space="preserve">HM-108</t>
  </si>
  <si>
    <t xml:space="preserve">Коврик для ванной</t>
  </si>
  <si>
    <t xml:space="preserve">HM-109</t>
  </si>
  <si>
    <t xml:space="preserve">Шторка для душа</t>
  </si>
  <si>
    <t xml:space="preserve">HM-110</t>
  </si>
  <si>
    <t xml:space="preserve">Органайзер для косметики</t>
  </si>
  <si>
    <t xml:space="preserve">HM-111</t>
  </si>
  <si>
    <t xml:space="preserve">Корзина для белья складная</t>
  </si>
  <si>
    <t xml:space="preserve">HM-112</t>
  </si>
  <si>
    <t xml:space="preserve">Органайзер для обуви 6 ярусов</t>
  </si>
  <si>
    <t xml:space="preserve">HM-113</t>
  </si>
  <si>
    <t xml:space="preserve">Кофр для одежды 3 шт</t>
  </si>
  <si>
    <t xml:space="preserve">HM-114</t>
  </si>
  <si>
    <t xml:space="preserve">Вакуумные пакеты 10 шт</t>
  </si>
  <si>
    <t xml:space="preserve">HM-115</t>
  </si>
  <si>
    <t xml:space="preserve">Сушилка для белья напольная</t>
  </si>
  <si>
    <t xml:space="preserve">HM-116</t>
  </si>
  <si>
    <t xml:space="preserve">Контейнеры для круп 5 шт</t>
  </si>
  <si>
    <t xml:space="preserve">Кухня</t>
  </si>
  <si>
    <t xml:space="preserve">HM-117</t>
  </si>
  <si>
    <t xml:space="preserve">Набор ножей 5 предметов</t>
  </si>
  <si>
    <t xml:space="preserve">HM-118</t>
  </si>
  <si>
    <t xml:space="preserve">Сковорода 28 см</t>
  </si>
  <si>
    <t xml:space="preserve">HM-119</t>
  </si>
  <si>
    <t xml:space="preserve">Кухонные полотенца 4 шт</t>
  </si>
  <si>
    <t xml:space="preserve">HM-120</t>
  </si>
  <si>
    <t xml:space="preserve">Разделочные доски 3 шт</t>
  </si>
  <si>
    <t xml:space="preserve">HM-121</t>
  </si>
  <si>
    <t xml:space="preserve">Термокружка 450 мл</t>
  </si>
  <si>
    <t xml:space="preserve">HM-122</t>
  </si>
  <si>
    <t xml:space="preserve">Сушилка для посуды</t>
  </si>
  <si>
    <t xml:space="preserve">HM-123</t>
  </si>
  <si>
    <t xml:space="preserve">Скатерть водоотталкивающая</t>
  </si>
  <si>
    <t xml:space="preserve">HM-124</t>
  </si>
  <si>
    <t xml:space="preserve">Фартук кухонный</t>
  </si>
  <si>
    <t xml:space="preserve">HM-125</t>
  </si>
  <si>
    <t xml:space="preserve">Ваза напольная 60 см</t>
  </si>
  <si>
    <t xml:space="preserve">HM-126</t>
  </si>
  <si>
    <t xml:space="preserve">Свеча ароматическая</t>
  </si>
  <si>
    <t xml:space="preserve">HM-127</t>
  </si>
  <si>
    <t xml:space="preserve">Рамки для фото 6 шт</t>
  </si>
  <si>
    <t xml:space="preserve">HM-128</t>
  </si>
  <si>
    <t xml:space="preserve">Часы настенные</t>
  </si>
  <si>
    <t xml:space="preserve">HM-129</t>
  </si>
  <si>
    <t xml:space="preserve">Искусственный эвкалипт</t>
  </si>
  <si>
    <t xml:space="preserve">HM-130</t>
  </si>
  <si>
    <t xml:space="preserve">Подушки декоративные 2 шт</t>
  </si>
  <si>
    <t xml:space="preserve">HM-131</t>
  </si>
  <si>
    <t xml:space="preserve">Простыня на резинке 160×200</t>
  </si>
  <si>
    <t xml:space="preserve">HM-132</t>
  </si>
  <si>
    <t xml:space="preserve">Пододеяльник евро</t>
  </si>
  <si>
    <t xml:space="preserve">HM-133</t>
  </si>
  <si>
    <t xml:space="preserve">Одеяло всесезонное</t>
  </si>
  <si>
    <t xml:space="preserve">HM-134</t>
  </si>
  <si>
    <t xml:space="preserve">Подушка 50×70</t>
  </si>
  <si>
    <t xml:space="preserve">HM-135</t>
  </si>
  <si>
    <t xml:space="preserve">Держатель для туалетной бумаги</t>
  </si>
  <si>
    <t xml:space="preserve">HM-136</t>
  </si>
  <si>
    <t xml:space="preserve">Дозатор для мыла</t>
  </si>
  <si>
    <t xml:space="preserve">HM-137</t>
  </si>
  <si>
    <t xml:space="preserve">Ящик для игрушек</t>
  </si>
  <si>
    <t xml:space="preserve">HM-138</t>
  </si>
  <si>
    <t xml:space="preserve">Вешалки бархатные 20 шт</t>
  </si>
  <si>
    <t xml:space="preserve">HM-139</t>
  </si>
  <si>
    <t xml:space="preserve">Салфетки сервировочные 4 шт</t>
  </si>
  <si>
    <t xml:space="preserve">HM-140</t>
  </si>
  <si>
    <t xml:space="preserve">Ночник-проектор</t>
  </si>
  <si>
    <t xml:space="preserve">Итого</t>
  </si>
  <si>
    <t xml:space="preserve">Кабинет WB по неделям: весна и лето 2026</t>
  </si>
  <si>
    <t xml:space="preserve">Синие — суммы из отчётов о реализации за неделю; себестоимость выкупов = выкупы в шт × себестоимость артикула.</t>
  </si>
  <si>
    <t xml:space="preserve">Неделя с</t>
  </si>
  <si>
    <t xml:space="preserve">Период</t>
  </si>
  <si>
    <t xml:space="preserve">Логистика</t>
  </si>
  <si>
    <t xml:space="preserve">Прочие</t>
  </si>
  <si>
    <t xml:space="preserve">Дней без остатка (арт×дн)</t>
  </si>
  <si>
    <t xml:space="preserve">Упущено выкупов, ₽</t>
  </si>
  <si>
    <t xml:space="preserve">НДС + УСН</t>
  </si>
  <si>
    <t xml:space="preserve">весна</t>
  </si>
  <si>
    <t xml:space="preserve">лето</t>
  </si>
  <si>
    <t xml:space="preserve">Как считали</t>
  </si>
  <si>
    <t xml:space="preserve">Демо-данные: магазин, артикулы и события условные.</t>
  </si>
  <si>
    <t xml:space="preserve">Лето — недели с 01.06 по 24.08.2026 (по 30.08), 13 недель. Весна — недели с 02.03 по 25.05.2026 (по 31.05).</t>
  </si>
  <si>
    <t xml:space="preserve">Данные</t>
  </si>
  <si>
    <t xml:space="preserve">Еженедельные отчёты о реализации WB, воронка продаж, остатки на складах WB; себестоимость — от клиента.</t>
  </si>
  <si>
    <t xml:space="preserve">Прибыль</t>
  </si>
  <si>
    <t xml:space="preserve">Выкупы − комиссия − логистика − обратная логистика − хранение − приёмка − прочие удержания − реклама − себестоимость выкупов − НДС − УСН.</t>
  </si>
  <si>
    <t xml:space="preserve">Выкупы × ставка ÷ (1 + ставка): НДС внутри цены.</t>
  </si>
  <si>
    <t xml:space="preserve">(Выкупы − НДС) × ставка.</t>
  </si>
  <si>
    <t xml:space="preserve">Логистика невыкупов</t>
  </si>
  <si>
    <t xml:space="preserve">Логистика к покупателю × доля невыкупленных штук (оценка) + обратная логистика (из отчёта).</t>
  </si>
  <si>
    <t xml:space="preserve">Остаток на 30.08 ÷ средние заказы в неделю за последние 4 недели.</t>
  </si>
  <si>
    <t xml:space="preserve">Цвета</t>
  </si>
  <si>
    <t xml:space="preserve">Синие — исходные цифры, жёлтые — ввод клиента или уточнить, чёрные — формулы.</t>
  </si>
  <si>
    <t xml:space="preserve">Метки</t>
  </si>
  <si>
    <t xml:space="preserve">«Из отчёта» — сумма прямо из отчёта WB. «Оценка» — расчёт на допущении, оно подписано рядом.</t>
  </si>
  <si>
    <t xml:space="preserve">Связь</t>
  </si>
  <si>
    <t xml:space="preserve">Telegram @followthedata_team · почта team@followthedata.ru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</si>
</sst>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;\-#,##0;\–"/>
    <numFmt numFmtId="166" formatCode="0.0%;\-0.0%;\–"/>
    <numFmt numFmtId="167" formatCode="\+0.0%;\-0.0%"/>
    <numFmt numFmtId="168" formatCode="dd\.mm\.yyyy"/>
    <numFmt numFmtId="169" formatCode="0"/>
    <numFmt numFmtId="170" formatCode="0.00"/>
    <numFmt numFmtId="171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6B5A3A"/>
      <name val="Arial"/>
      <family val="0"/>
      <charset val="1"/>
    </font>
    <font>
      <sz val="15"/>
      <color rgb="FF0F1B2D"/>
      <name val="Arial"/>
      <family val="0"/>
      <charset val="1"/>
    </font>
    <font>
      <sz val="9"/>
      <color rgb="FF6B5A3A"/>
      <name val="Arial"/>
      <family val="0"/>
      <charset val="1"/>
    </font>
    <font>
      <b val="true"/>
      <sz val="11"/>
      <color rgb="FF0F1B2D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FAF3E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F1B2D"/>
        <bgColor rgb="FF000000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4DCCB"/>
      </bottom>
      <diagonal/>
    </border>
    <border diagonalUp="false" diagonalDown="false">
      <left/>
      <right/>
      <top style="medium">
        <color rgb="FF0F1B2D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F1B2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AF3E0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AF3E0"/>
      <rgbColor rgb="FFCCFFFF"/>
      <rgbColor rgb="FF660066"/>
      <rgbColor rgb="FFFF8080"/>
      <rgbColor rgb="FF0066CC"/>
      <rgbColor rgb="FFE4DCC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5A3A"/>
      <rgbColor rgb="FF969696"/>
      <rgbColor rgb="FF003366"/>
      <rgbColor rgb="FF339966"/>
      <rgbColor rgb="FF0F1B2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1B2D"/>
    <pageSetUpPr fitToPage="false"/>
  </sheetPr>
  <dimension ref="A1:F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2"/>
    <col collapsed="false" customWidth="true" hidden="false" outlineLevel="0" max="5" min="3" style="0" width="17"/>
    <col collapsed="false" customWidth="true" hidden="false" outlineLevel="0" max="6" min="6" style="0" width="60"/>
  </cols>
  <sheetData>
    <row r="1" customFormat="false" ht="15" hidden="false" customHeight="false" outlineLevel="0" collapsed="false">
      <c r="A1" s="1" t="s">
        <v>0</v>
      </c>
    </row>
    <row r="2" customFormat="false" ht="18.5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B5" s="4" t="s">
        <v>3</v>
      </c>
      <c r="C5" s="5" t="s">
        <v>4</v>
      </c>
      <c r="D5" s="5" t="s">
        <v>5</v>
      </c>
      <c r="E5" s="5" t="s">
        <v>6</v>
      </c>
    </row>
    <row r="6" customFormat="false" ht="15" hidden="false" customHeight="false" outlineLevel="0" collapsed="false">
      <c r="B6" s="6" t="s">
        <v>7</v>
      </c>
      <c r="C6" s="7" t="n">
        <f aca="false">Артикулы!$G$46</f>
        <v>10508020</v>
      </c>
      <c r="D6" s="7" t="n">
        <f aca="false">SUMIFS('По неделям'!$F$6:$F$31,'По неделям'!$B$6:$B$31,"весна")</f>
        <v>11223530</v>
      </c>
      <c r="E6" s="8" t="n">
        <f aca="false">C6/D6-1</f>
        <v>-0.0637508876440834</v>
      </c>
      <c r="F6" s="9"/>
    </row>
    <row r="7" customFormat="false" ht="15" hidden="false" customHeight="false" outlineLevel="0" collapsed="false">
      <c r="B7" s="6" t="s">
        <v>8</v>
      </c>
      <c r="C7" s="7" t="n">
        <f aca="false">Артикулы!$W$46</f>
        <v>514548.80952381</v>
      </c>
      <c r="D7" s="7" t="n">
        <f aca="false">SUMIFS('По неделям'!$R$6:$R$31,'По неделям'!$B$6:$B$31,"весна")</f>
        <v>870796.619047619</v>
      </c>
      <c r="E7" s="8" t="n">
        <f aca="false">C7/D7-1</f>
        <v>-0.40910564158303</v>
      </c>
      <c r="F7" s="9"/>
    </row>
    <row r="8" customFormat="false" ht="15" hidden="false" customHeight="false" outlineLevel="0" collapsed="false">
      <c r="B8" s="6" t="s">
        <v>9</v>
      </c>
      <c r="C8" s="8" t="n">
        <f aca="false">Артикулы!$W$46/Артикулы!$G$46</f>
        <v>0.0489672468765581</v>
      </c>
      <c r="D8" s="8" t="n">
        <f aca="false">SUMIFS('По неделям'!$R$6:$R$31,'По неделям'!$B$6:$B$31,"весна")/SUMIFS('По неделям'!$F$6:$F$31,'По неделям'!$B$6:$B$31,"весна")</f>
        <v>0.0775866967921518</v>
      </c>
      <c r="E8" s="10" t="n">
        <f aca="false">C8-D8</f>
        <v>-0.0286194499155937</v>
      </c>
      <c r="F8" s="9"/>
    </row>
    <row r="9" customFormat="false" ht="15" hidden="false" customHeight="false" outlineLevel="0" collapsed="false">
      <c r="B9" s="6" t="s">
        <v>10</v>
      </c>
      <c r="C9" s="8" t="n">
        <f aca="false">Артикулы!$H$46/Артикулы!$G$46</f>
        <v>0.263877400309478</v>
      </c>
      <c r="D9" s="8" t="n">
        <f aca="false">SUMIFS('По неделям'!$G$6:$G$31,'По неделям'!$B$6:$B$31,"весна")/SUMIFS('По неделям'!$F$6:$F$31,'По неделям'!$B$6:$B$31,"весна")</f>
        <v>0.233587293837144</v>
      </c>
      <c r="E9" s="10" t="n">
        <f aca="false">C9-D9</f>
        <v>0.030290106472334</v>
      </c>
      <c r="F9" s="9"/>
    </row>
    <row r="10" customFormat="false" ht="15" hidden="false" customHeight="false" outlineLevel="0" collapsed="false">
      <c r="B10" s="6" t="s">
        <v>11</v>
      </c>
      <c r="C10" s="8" t="n">
        <f aca="false">Артикулы!$Y$46</f>
        <v>0.839449133718347</v>
      </c>
      <c r="D10" s="8" t="n">
        <f aca="false">SUMIFS('По неделям'!$D$6:$D$31,'По неделям'!$B$6:$B$31,"весна")/SUMIFS('По неделям'!$C$6:$C$31,'По неделям'!$B$6:$B$31,"весна")</f>
        <v>0.834259643301535</v>
      </c>
      <c r="E10" s="10" t="n">
        <f aca="false">C10-D10</f>
        <v>0.00518949041681271</v>
      </c>
      <c r="F10" s="9"/>
    </row>
    <row r="11" customFormat="false" ht="15" hidden="false" customHeight="false" outlineLevel="0" collapsed="false">
      <c r="B11" s="6" t="s">
        <v>12</v>
      </c>
      <c r="C11" s="8" t="n">
        <f aca="false">Артикулы!$Z$46</f>
        <v>0.0779028156605973</v>
      </c>
      <c r="D11" s="8" t="n">
        <f aca="false">SUMIFS('По неделям'!$M$6:$M$31,'По неделям'!$B$6:$B$31,"весна")/SUMIFS('По неделям'!$E$6:$E$31,'По неделям'!$B$6:$B$31,"весна")</f>
        <v>0.077823804196704</v>
      </c>
      <c r="E11" s="10" t="n">
        <f aca="false">C11-D11</f>
        <v>7.90114638933304E-005</v>
      </c>
      <c r="F11" s="9"/>
    </row>
    <row r="12" customFormat="false" ht="15" hidden="false" customHeight="false" outlineLevel="0" collapsed="false">
      <c r="B12" s="6" t="s">
        <v>13</v>
      </c>
      <c r="C12" s="8" t="n">
        <f aca="false">Артикулы!$AA$46</f>
        <v>0.0963548794159128</v>
      </c>
      <c r="D12" s="8" t="n">
        <f aca="false">SUMIFS('По неделям'!$M$6:$M$31,'По неделям'!$B$6:$B$31,"весна")/SUMIFS('По неделям'!$F$6:$F$31,'По неделям'!$B$6:$B$31,"весна")</f>
        <v>0.0970033492136609</v>
      </c>
      <c r="E12" s="10" t="n">
        <f aca="false">C12-D12</f>
        <v>-0.000648469797748144</v>
      </c>
      <c r="F12" s="9"/>
    </row>
    <row r="13" customFormat="false" ht="15" hidden="false" customHeight="false" outlineLevel="0" collapsed="false">
      <c r="B13" s="6" t="s">
        <v>14</v>
      </c>
      <c r="C13" s="7" t="n">
        <f aca="false">SUMIFS('По неделям'!$R$6:$R$31,'По неделям'!$B$6:$B$31,"лето")-Артикулы!$W$46</f>
        <v>0</v>
      </c>
      <c r="D13" s="9"/>
      <c r="E13" s="9"/>
      <c r="F13" s="11" t="s">
        <v>15</v>
      </c>
    </row>
    <row r="15" customFormat="false" ht="15" hidden="false" customHeight="false" outlineLevel="0" collapsed="false">
      <c r="B15" s="4" t="s">
        <v>16</v>
      </c>
      <c r="C15" s="5" t="s">
        <v>17</v>
      </c>
    </row>
    <row r="16" customFormat="false" ht="15" hidden="false" customHeight="false" outlineLevel="0" collapsed="false">
      <c r="B16" s="6" t="s">
        <v>18</v>
      </c>
      <c r="C16" s="7" t="n">
        <f aca="false">-(C9-D9)*C6</f>
        <v>-318289.044613415</v>
      </c>
      <c r="D16" s="9"/>
      <c r="E16" s="9"/>
      <c r="F16" s="11" t="s">
        <v>19</v>
      </c>
    </row>
    <row r="17" customFormat="false" ht="15" hidden="false" customHeight="false" outlineLevel="0" collapsed="false">
      <c r="B17" s="6" t="s">
        <v>20</v>
      </c>
      <c r="C17" s="7" t="n">
        <f aca="false">(C6-D6)*D8</f>
        <v>-55514.0574217525</v>
      </c>
      <c r="D17" s="9"/>
      <c r="E17" s="9"/>
      <c r="F17" s="11" t="s">
        <v>21</v>
      </c>
    </row>
    <row r="18" customFormat="false" ht="15" hidden="false" customHeight="false" outlineLevel="0" collapsed="false">
      <c r="B18" s="6" t="s">
        <v>22</v>
      </c>
      <c r="C18" s="7" t="n">
        <f aca="false">C19-C16-C17</f>
        <v>17555.292511358</v>
      </c>
      <c r="D18" s="9"/>
      <c r="E18" s="9"/>
      <c r="F18" s="11" t="s">
        <v>23</v>
      </c>
    </row>
    <row r="19" customFormat="false" ht="15" hidden="false" customHeight="false" outlineLevel="0" collapsed="false">
      <c r="B19" s="12" t="s">
        <v>24</v>
      </c>
      <c r="C19" s="13" t="n">
        <f aca="false">C7-D7</f>
        <v>-356247.80952381</v>
      </c>
      <c r="D19" s="9"/>
      <c r="E19" s="9"/>
      <c r="F19" s="9"/>
    </row>
    <row r="21" customFormat="false" ht="15" hidden="false" customHeight="false" outlineLevel="0" collapsed="false">
      <c r="B21" s="4" t="s">
        <v>25</v>
      </c>
      <c r="C21" s="5" t="s">
        <v>26</v>
      </c>
      <c r="D21" s="5"/>
      <c r="E21" s="5"/>
      <c r="F21" s="1" t="s">
        <v>27</v>
      </c>
    </row>
    <row r="22" customFormat="false" ht="15" hidden="false" customHeight="false" outlineLevel="0" collapsed="false">
      <c r="B22" s="6" t="s">
        <v>28</v>
      </c>
      <c r="C22" s="7" t="n">
        <f aca="false">SUMIF(Артикулы!$W$6:$W$45,"&lt;0")</f>
        <v>-286663.80952381</v>
      </c>
      <c r="D22" s="9"/>
      <c r="E22" s="9"/>
      <c r="F22" s="6" t="str">
        <f aca="false">COUNTIF(Артикулы!$W$6:$W$45,"&lt;0")&amp;" из "&amp;COUNTA(Артикулы!$A$6:$A$45)&amp;" в минусе; с низким выкупом — "&amp;Артикулы!$AE$46</f>
        <v>7 из 40 в минусе; с низким выкупом — 4</v>
      </c>
    </row>
    <row r="23" customFormat="false" ht="15" hidden="false" customHeight="false" outlineLevel="0" collapsed="false">
      <c r="B23" s="6" t="s">
        <v>29</v>
      </c>
      <c r="C23" s="7" t="n">
        <f aca="false">Артикулы!$AB$46</f>
        <v>415412</v>
      </c>
      <c r="D23" s="9"/>
      <c r="E23" s="9"/>
      <c r="F23" s="6" t="str">
        <f aca="false">FIXED(Артикулы!$D$46-Артикулы!$E$46,0)&amp;" шт не выкуплены: доставка туда и обратно"</f>
        <v>1,807 шт не выкуплены: доставка туда и обратно</v>
      </c>
    </row>
    <row r="24" customFormat="false" ht="15" hidden="false" customHeight="false" outlineLevel="0" collapsed="false">
      <c r="B24" s="6" t="s">
        <v>30</v>
      </c>
      <c r="C24" s="7" t="n">
        <f aca="false">Артикулы!$N$46*(1-Артикулы!$G$46/Артикулы!$F$46)</f>
        <v>193894.65498213</v>
      </c>
      <c r="D24" s="9"/>
      <c r="E24" s="9"/>
      <c r="F24" s="6" t="str">
        <f aca="false">"реклама × доля невыкупа в рублях; от заказов "&amp;ROUND(Артикулы!$Z$46*100,1)&amp;"%"&amp;", от выкупов "&amp;ROUND(Артикулы!$AA$46*100,1)&amp;"%"</f>
        <v>реклама × доля невыкупа в рублях; от заказов 7.8%, от выкупов 9.6%</v>
      </c>
    </row>
    <row r="25" customFormat="false" ht="15" hidden="false" customHeight="false" outlineLevel="0" collapsed="false">
      <c r="B25" s="6" t="s">
        <v>31</v>
      </c>
      <c r="C25" s="7" t="n">
        <f aca="false">SUMIF(Артикулы!$AF$6:$AF$45,1,Артикулы!$AD$6:$AD$45)</f>
        <v>267766</v>
      </c>
      <c r="D25" s="9"/>
      <c r="E25" s="9"/>
      <c r="F25" s="6" t="str">
        <f aca="false">SUM(Артикулы!$AF$6:$AF$45)&amp;" артикула с запасом больше "&amp;Допущения!$B$13&amp;" недель"</f>
        <v>2 артикула с запасом больше 12 недель</v>
      </c>
    </row>
    <row r="26" customFormat="false" ht="15" hidden="false" customHeight="false" outlineLevel="0" collapsed="false">
      <c r="B26" s="6" t="s">
        <v>32</v>
      </c>
      <c r="C26" s="7" t="n">
        <f aca="false">SUMIFS('По неделям'!$P$6:$P$31,'По неделям'!$B$6:$B$31,"лето")</f>
        <v>0</v>
      </c>
      <c r="D26" s="9"/>
      <c r="E26" s="9"/>
      <c r="F26" s="6" t="str">
        <f aca="false">"дней без остатка летом: "&amp;SUMIFS('По неделям'!$O$6:$O$31,'По неделям'!$B$6:$B$31,"лето")&amp;"; весной: "&amp;SUMIFS('По неделям'!$O$6:$O$31,'По неделям'!$B$6:$B$31,"весна")&amp;", упущено "&amp;FIXED(SUMIFS('По неделям'!$P$6:$P$31,'По неделям'!$B$6:$B$31,"весна"),0)&amp;" ₽"</f>
        <v>дней без остатка летом: 0; весной: 13, упущено 50,839 ₽</v>
      </c>
    </row>
    <row r="27" customFormat="false" ht="15" hidden="false" customHeight="false" outlineLevel="0" collapsed="false">
      <c r="B27" s="6" t="s">
        <v>33</v>
      </c>
      <c r="C27" s="7" t="n">
        <f aca="false">SUMIFS('По неделям'!$F$6:$F$31,'По неделям'!$A$6:$A$31,"&gt;="&amp;Допущения!$B$8,'По неделям'!$B$6:$B$31,"лето")*Допущения!$B$9</f>
        <v>329693</v>
      </c>
      <c r="D27" s="9"/>
      <c r="E27" s="9"/>
      <c r="F27" s="6" t="str">
        <f aca="false">COUNTIFS('По неделям'!$A$6:$A$31,"&gt;="&amp;Допущения!$B$8,'По неделям'!$B$6:$B$31,"лето")&amp;" нед.; доля комиссии после: "&amp;ROUND(C30*100,1)&amp;"%"</f>
        <v>8 нед.; доля комиссии после: 28.2%</v>
      </c>
    </row>
    <row r="28" customFormat="false" ht="15" hidden="false" customHeight="false" outlineLevel="0" collapsed="false">
      <c r="B28" s="6" t="s">
        <v>34</v>
      </c>
      <c r="C28" s="7" t="n">
        <f aca="false">Артикулы!$U$46+Артикулы!$V$46</f>
        <v>1100840.19047619</v>
      </c>
      <c r="D28" s="9"/>
      <c r="E28" s="9"/>
      <c r="F28" s="6" t="str">
        <f aca="false">ROUND(C31*100,1)&amp;"% выкупов; учтены в прибыли"</f>
        <v>10.5% выкупов; учтены в прибыли</v>
      </c>
    </row>
    <row r="30" customFormat="false" ht="15" hidden="false" customHeight="false" outlineLevel="0" collapsed="false">
      <c r="B30" s="6" t="s">
        <v>35</v>
      </c>
      <c r="C30" s="8" t="n">
        <f aca="false">SUMIFS('По неделям'!$G$6:$G$31,'По неделям'!$A$6:$A$31,"&gt;="&amp;Допущения!$B$8,'По неделям'!$B$6:$B$31,"лето")/SUMIFS('По неделям'!$F$6:$F$31,'По неделям'!$A$6:$A$31,"&gt;="&amp;Допущения!$B$8,'По неделям'!$B$6:$B$31,"лето")</f>
        <v>0.282215424652631</v>
      </c>
      <c r="D30" s="9"/>
      <c r="E30" s="9"/>
      <c r="F30" s="9"/>
    </row>
    <row r="31" customFormat="false" ht="15" hidden="false" customHeight="false" outlineLevel="0" collapsed="false">
      <c r="B31" s="6" t="s">
        <v>36</v>
      </c>
      <c r="C31" s="8" t="n">
        <f aca="false">C28/Артикулы!$G$46</f>
        <v>0.104761904761905</v>
      </c>
      <c r="D31" s="9"/>
      <c r="E31" s="9"/>
      <c r="F31" s="9"/>
    </row>
    <row r="32" customFormat="false" ht="15" hidden="false" customHeight="false" outlineLevel="0" collapsed="false">
      <c r="F32" s="3" t="s">
        <v>37</v>
      </c>
    </row>
    <row r="34" customFormat="false" ht="15" hidden="false" customHeight="false" outlineLevel="0" collapsed="false">
      <c r="B34" s="4" t="s">
        <v>38</v>
      </c>
      <c r="C34" s="5" t="s">
        <v>39</v>
      </c>
      <c r="D34" s="5" t="s">
        <v>40</v>
      </c>
      <c r="E34" s="5"/>
    </row>
    <row r="35" customFormat="false" ht="15" hidden="false" customHeight="false" outlineLevel="0" collapsed="false">
      <c r="B35" s="6" t="s">
        <v>41</v>
      </c>
      <c r="C35" s="7" t="n">
        <f aca="false">Артикулы!$G$46-SUMIF(Артикулы!$AE$6:$AE$45,1,Артикулы!$G$6:$G$45)</f>
        <v>9812320</v>
      </c>
      <c r="D35" s="9"/>
      <c r="E35" s="9"/>
      <c r="F35" s="9"/>
    </row>
    <row r="36" customFormat="false" ht="15" hidden="false" customHeight="false" outlineLevel="0" collapsed="false">
      <c r="B36" s="6" t="s">
        <v>42</v>
      </c>
      <c r="C36" s="7" t="n">
        <f aca="false">C35*1%*(1-C30-C31)*Допущения!$B$11</f>
        <v>240606.984441566</v>
      </c>
      <c r="D36" s="9"/>
      <c r="E36" s="9"/>
      <c r="F36" s="11" t="s">
        <v>43</v>
      </c>
    </row>
    <row r="37" customFormat="false" ht="15" hidden="false" customHeight="false" outlineLevel="0" collapsed="false">
      <c r="B37" s="12" t="s">
        <v>44</v>
      </c>
      <c r="C37" s="13" t="n">
        <f aca="false">C36*Допущения!$B$14*100</f>
        <v>721820.953324699</v>
      </c>
      <c r="D37" s="13" t="n">
        <f aca="false">C36*Допущения!$B$15*100</f>
        <v>1203034.92220783</v>
      </c>
      <c r="E37" s="9"/>
      <c r="F37" s="11" t="s">
        <v>45</v>
      </c>
    </row>
    <row r="38" customFormat="false" ht="15" hidden="false" customHeight="false" outlineLevel="0" collapsed="false">
      <c r="B38" s="12" t="s">
        <v>46</v>
      </c>
      <c r="C38" s="13" t="n">
        <f aca="false">-SUMIF(Артикулы!$AE$6:$AE$45,1,Артикулы!$W$6:$W$45)*Допущения!$B$11</f>
        <v>1066419.42857143</v>
      </c>
      <c r="D38" s="9"/>
      <c r="E38" s="9"/>
      <c r="F38" s="11" t="s">
        <v>47</v>
      </c>
    </row>
    <row r="39" customFormat="false" ht="15" hidden="false" customHeight="false" outlineLevel="0" collapsed="false">
      <c r="B39" s="6" t="s">
        <v>48</v>
      </c>
      <c r="C39" s="7" t="n">
        <f aca="false">SUMIF(Артикулы!$AE$6:$AE$45,1,Артикулы!$R$6:$R$45)</f>
        <v>-284754.01</v>
      </c>
      <c r="D39" s="9"/>
      <c r="E39" s="9"/>
      <c r="F39" s="9"/>
    </row>
    <row r="40" customFormat="false" ht="15" hidden="false" customHeight="false" outlineLevel="0" collapsed="false">
      <c r="B40" s="12" t="s">
        <v>49</v>
      </c>
      <c r="C40" s="13" t="n">
        <f aca="false">SUMIF(Артикулы!$AF$6:$AF$45,1,Артикулы!$K$6:$K$45)*Допущения!$B$11</f>
        <v>69388</v>
      </c>
      <c r="D40" s="9"/>
      <c r="E40" s="9"/>
      <c r="F40" s="11" t="s">
        <v>50</v>
      </c>
    </row>
    <row r="41" customFormat="false" ht="15" hidden="false" customHeight="false" outlineLevel="0" collapsed="false">
      <c r="B41" s="6" t="s">
        <v>51</v>
      </c>
      <c r="C41" s="7" t="n">
        <f aca="false">SUMIF(Артикулы!$AF$6:$AF$45,1,Артикулы!$AD$6:$AD$45)</f>
        <v>267766</v>
      </c>
      <c r="D41" s="9"/>
      <c r="E41" s="9"/>
      <c r="F41" s="11" t="s">
        <v>52</v>
      </c>
    </row>
    <row r="43" customFormat="false" ht="15" hidden="false" customHeight="false" outlineLevel="0" collapsed="false">
      <c r="B43" s="6" t="s">
        <v>53</v>
      </c>
      <c r="C43" s="8" t="n">
        <f aca="false">(C30-D9)*C35*Допущения!$B$11/C36/100</f>
        <v>0.0793251753137375</v>
      </c>
      <c r="D43" s="9"/>
      <c r="E43" s="9"/>
      <c r="F43" s="11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4DCCB"/>
    <pageSetUpPr fitToPage="fals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4"/>
    <col collapsed="false" customWidth="true" hidden="false" outlineLevel="0" max="3" min="3" style="0" width="90"/>
  </cols>
  <sheetData>
    <row r="1" customFormat="false" ht="15" hidden="false" customHeight="false" outlineLevel="0" collapsed="false">
      <c r="A1" s="1" t="s">
        <v>0</v>
      </c>
    </row>
    <row r="2" customFormat="false" ht="18.55" hidden="false" customHeight="false" outlineLevel="0" collapsed="false">
      <c r="A2" s="2" t="s">
        <v>55</v>
      </c>
    </row>
    <row r="3" customFormat="false" ht="15" hidden="false" customHeight="false" outlineLevel="0" collapsed="false">
      <c r="A3" s="3" t="s">
        <v>56</v>
      </c>
    </row>
    <row r="5" customFormat="false" ht="30" hidden="false" customHeight="true" outlineLevel="0" collapsed="false">
      <c r="A5" s="14" t="s">
        <v>57</v>
      </c>
      <c r="B5" s="14" t="s">
        <v>58</v>
      </c>
      <c r="C5" s="14" t="s">
        <v>59</v>
      </c>
    </row>
    <row r="6" customFormat="false" ht="15" hidden="false" customHeight="false" outlineLevel="0" collapsed="false">
      <c r="A6" s="15" t="s">
        <v>60</v>
      </c>
      <c r="B6" s="16" t="n">
        <v>0.05</v>
      </c>
      <c r="C6" s="3" t="s">
        <v>61</v>
      </c>
    </row>
    <row r="7" customFormat="false" ht="15" hidden="false" customHeight="false" outlineLevel="0" collapsed="false">
      <c r="A7" s="15" t="s">
        <v>62</v>
      </c>
      <c r="B7" s="16" t="n">
        <v>0.06</v>
      </c>
      <c r="C7" s="3" t="s">
        <v>63</v>
      </c>
    </row>
    <row r="8" customFormat="false" ht="15" hidden="false" customHeight="false" outlineLevel="0" collapsed="false">
      <c r="A8" s="15" t="s">
        <v>64</v>
      </c>
      <c r="B8" s="17" t="n">
        <v>46209</v>
      </c>
      <c r="C8" s="3" t="s">
        <v>65</v>
      </c>
    </row>
    <row r="9" customFormat="false" ht="15" hidden="false" customHeight="false" outlineLevel="0" collapsed="false">
      <c r="A9" s="15" t="s">
        <v>66</v>
      </c>
      <c r="B9" s="18" t="n">
        <v>0.05</v>
      </c>
      <c r="C9" s="3" t="s">
        <v>67</v>
      </c>
    </row>
    <row r="10" customFormat="false" ht="15" hidden="false" customHeight="false" outlineLevel="0" collapsed="false">
      <c r="A10" s="15" t="s">
        <v>68</v>
      </c>
      <c r="B10" s="19" t="n">
        <v>52</v>
      </c>
      <c r="C10" s="3"/>
    </row>
    <row r="11" customFormat="false" ht="15" hidden="false" customHeight="false" outlineLevel="0" collapsed="false">
      <c r="A11" s="15" t="s">
        <v>69</v>
      </c>
      <c r="B11" s="19" t="n">
        <v>4</v>
      </c>
      <c r="C11" s="3" t="s">
        <v>70</v>
      </c>
    </row>
    <row r="12" customFormat="false" ht="15" hidden="false" customHeight="false" outlineLevel="0" collapsed="false">
      <c r="A12" s="15" t="s">
        <v>71</v>
      </c>
      <c r="B12" s="18" t="n">
        <v>0.6</v>
      </c>
      <c r="C12" s="3" t="s">
        <v>72</v>
      </c>
    </row>
    <row r="13" customFormat="false" ht="15" hidden="false" customHeight="false" outlineLevel="0" collapsed="false">
      <c r="A13" s="15" t="s">
        <v>73</v>
      </c>
      <c r="B13" s="19" t="n">
        <v>12</v>
      </c>
      <c r="C13" s="3" t="s">
        <v>74</v>
      </c>
    </row>
    <row r="14" customFormat="false" ht="15" hidden="false" customHeight="false" outlineLevel="0" collapsed="false">
      <c r="A14" s="15" t="s">
        <v>75</v>
      </c>
      <c r="B14" s="18" t="n">
        <v>0.03</v>
      </c>
      <c r="C14" s="3" t="s">
        <v>76</v>
      </c>
    </row>
    <row r="15" customFormat="false" ht="15" hidden="false" customHeight="false" outlineLevel="0" collapsed="false">
      <c r="A15" s="15" t="s">
        <v>77</v>
      </c>
      <c r="B15" s="18" t="n">
        <v>0.05</v>
      </c>
      <c r="C15" s="3"/>
    </row>
    <row r="16" customFormat="false" ht="15" hidden="false" customHeight="false" outlineLevel="0" collapsed="false">
      <c r="A16" s="15" t="s">
        <v>78</v>
      </c>
      <c r="B16" s="19" t="n">
        <v>13</v>
      </c>
      <c r="C16" s="3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4DCCB"/>
    <pageSetUpPr fitToPage="false"/>
  </sheetPr>
  <dimension ref="A1:AF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11"/>
    <col collapsed="false" customWidth="true" hidden="false" outlineLevel="0" max="5" min="4" style="0" width="9"/>
    <col collapsed="false" customWidth="true" hidden="false" outlineLevel="0" max="7" min="6" style="0" width="12"/>
    <col collapsed="false" customWidth="true" hidden="false" outlineLevel="0" max="10" min="8" style="0" width="11"/>
    <col collapsed="false" customWidth="true" hidden="false" outlineLevel="0" max="11" min="11" style="0" width="10"/>
    <col collapsed="false" customWidth="true" hidden="false" outlineLevel="0" max="12" min="12" style="0" width="9"/>
    <col collapsed="false" customWidth="true" hidden="false" outlineLevel="0" max="13" min="13" style="0" width="10"/>
    <col collapsed="false" customWidth="true" hidden="false" outlineLevel="0" max="15" min="14" style="0" width="11"/>
    <col collapsed="false" customWidth="true" hidden="false" outlineLevel="0" max="16" min="16" style="0" width="10"/>
    <col collapsed="false" customWidth="true" hidden="false" outlineLevel="0" max="20" min="17" style="0" width="12"/>
    <col collapsed="false" customWidth="true" hidden="false" outlineLevel="0" max="22" min="21" style="0" width="11"/>
    <col collapsed="false" customWidth="true" hidden="false" outlineLevel="0" max="23" min="23" style="0" width="12"/>
    <col collapsed="false" customWidth="true" hidden="false" outlineLevel="0" max="24" min="24" style="0" width="9"/>
    <col collapsed="false" customWidth="true" hidden="false" outlineLevel="0" max="27" min="25" style="0" width="8"/>
    <col collapsed="false" customWidth="true" hidden="false" outlineLevel="0" max="28" min="28" style="0" width="12"/>
    <col collapsed="false" customWidth="true" hidden="false" outlineLevel="0" max="29" min="29" style="0" width="8"/>
    <col collapsed="false" customWidth="true" hidden="false" outlineLevel="0" max="30" min="30" style="0" width="12"/>
    <col collapsed="false" customWidth="true" hidden="false" outlineLevel="0" max="32" min="31" style="0" width="8"/>
  </cols>
  <sheetData>
    <row r="1" customFormat="false" ht="15" hidden="false" customHeight="false" outlineLevel="0" collapsed="false">
      <c r="A1" s="1" t="s">
        <v>0</v>
      </c>
    </row>
    <row r="2" customFormat="false" ht="18.55" hidden="false" customHeight="false" outlineLevel="0" collapsed="false">
      <c r="A2" s="2" t="s">
        <v>80</v>
      </c>
    </row>
    <row r="3" customFormat="false" ht="15" hidden="false" customHeight="false" outlineLevel="0" collapsed="false">
      <c r="A3" s="3" t="s">
        <v>81</v>
      </c>
    </row>
    <row r="5" customFormat="false" ht="30" hidden="false" customHeight="true" outlineLevel="0" collapsed="false">
      <c r="A5" s="14" t="s">
        <v>82</v>
      </c>
      <c r="B5" s="14" t="s">
        <v>83</v>
      </c>
      <c r="C5" s="14" t="s">
        <v>84</v>
      </c>
      <c r="D5" s="14" t="s">
        <v>85</v>
      </c>
      <c r="E5" s="14" t="s">
        <v>86</v>
      </c>
      <c r="F5" s="14" t="s">
        <v>87</v>
      </c>
      <c r="G5" s="14" t="s">
        <v>7</v>
      </c>
      <c r="H5" s="14" t="s">
        <v>88</v>
      </c>
      <c r="I5" s="14" t="s">
        <v>89</v>
      </c>
      <c r="J5" s="14" t="s">
        <v>90</v>
      </c>
      <c r="K5" s="14" t="s">
        <v>91</v>
      </c>
      <c r="L5" s="14" t="s">
        <v>92</v>
      </c>
      <c r="M5" s="14" t="s">
        <v>93</v>
      </c>
      <c r="N5" s="14" t="s">
        <v>94</v>
      </c>
      <c r="O5" s="14" t="s">
        <v>95</v>
      </c>
      <c r="P5" s="14" t="s">
        <v>96</v>
      </c>
      <c r="Q5" s="14" t="s">
        <v>97</v>
      </c>
      <c r="R5" s="14" t="s">
        <v>98</v>
      </c>
      <c r="S5" s="14" t="s">
        <v>99</v>
      </c>
      <c r="T5" s="14" t="s">
        <v>100</v>
      </c>
      <c r="U5" s="14" t="s">
        <v>101</v>
      </c>
      <c r="V5" s="14" t="s">
        <v>102</v>
      </c>
      <c r="W5" s="14" t="s">
        <v>103</v>
      </c>
      <c r="X5" s="14" t="s">
        <v>9</v>
      </c>
      <c r="Y5" s="14" t="s">
        <v>11</v>
      </c>
      <c r="Z5" s="14" t="s">
        <v>12</v>
      </c>
      <c r="AA5" s="14" t="s">
        <v>13</v>
      </c>
      <c r="AB5" s="14" t="s">
        <v>104</v>
      </c>
      <c r="AC5" s="14" t="s">
        <v>105</v>
      </c>
      <c r="AD5" s="14" t="s">
        <v>106</v>
      </c>
      <c r="AE5" s="14" t="s">
        <v>107</v>
      </c>
      <c r="AF5" s="14" t="s">
        <v>108</v>
      </c>
    </row>
    <row r="6" customFormat="false" ht="15" hidden="false" customHeight="false" outlineLevel="0" collapsed="false">
      <c r="A6" s="6" t="s">
        <v>109</v>
      </c>
      <c r="B6" s="6" t="s">
        <v>110</v>
      </c>
      <c r="C6" s="6" t="s">
        <v>111</v>
      </c>
      <c r="D6" s="20" t="n">
        <v>237</v>
      </c>
      <c r="E6" s="20" t="n">
        <v>98</v>
      </c>
      <c r="F6" s="20" t="n">
        <v>590130</v>
      </c>
      <c r="G6" s="20" t="n">
        <v>244020</v>
      </c>
      <c r="H6" s="20" t="n">
        <v>68725</v>
      </c>
      <c r="I6" s="20" t="n">
        <v>45030</v>
      </c>
      <c r="J6" s="20" t="n">
        <v>26410</v>
      </c>
      <c r="K6" s="20" t="n">
        <v>6767</v>
      </c>
      <c r="L6" s="20" t="n">
        <v>1192</v>
      </c>
      <c r="M6" s="20" t="n">
        <v>0</v>
      </c>
      <c r="N6" s="20" t="n">
        <v>88344</v>
      </c>
      <c r="O6" s="21" t="n">
        <v>972</v>
      </c>
      <c r="P6" s="20" t="n">
        <v>165</v>
      </c>
      <c r="Q6" s="22" t="n">
        <v>17.75</v>
      </c>
      <c r="R6" s="20" t="n">
        <v>-116981</v>
      </c>
      <c r="S6" s="7" t="n">
        <f aca="false">E6*O6</f>
        <v>95256</v>
      </c>
      <c r="T6" s="7" t="n">
        <f aca="false">G6-H6-I6-J6-K6-L6-M6</f>
        <v>95896</v>
      </c>
      <c r="U6" s="7" t="n">
        <f aca="false">G6*Допущения!$B$6/(1+Допущения!$B$6)</f>
        <v>11620</v>
      </c>
      <c r="V6" s="7" t="n">
        <f aca="false">(G6-U6)*Допущения!$B$7</f>
        <v>13944</v>
      </c>
      <c r="W6" s="7" t="n">
        <f aca="false">T6-N6-S6-U6-V6</f>
        <v>-113268</v>
      </c>
      <c r="X6" s="8" t="n">
        <f aca="false">IF(G6=0,0,W6/G6)</f>
        <v>-0.464175067617408</v>
      </c>
      <c r="Y6" s="8" t="n">
        <f aca="false">IF(D6=0,0,E6/D6)</f>
        <v>0.413502109704641</v>
      </c>
      <c r="Z6" s="8" t="n">
        <f aca="false">IF(F6=0,0,N6/F6)</f>
        <v>0.149702607899954</v>
      </c>
      <c r="AA6" s="8" t="n">
        <f aca="false">IF(G6=0,0,N6/G6)</f>
        <v>0.362035898696828</v>
      </c>
      <c r="AB6" s="7" t="n">
        <f aca="false">IF(D6=0,0,I6*(D6-E6)/D6)+J6</f>
        <v>52820</v>
      </c>
      <c r="AC6" s="23" t="n">
        <f aca="false">IF(Q6=0,"",P6/Q6)</f>
        <v>9.29577464788732</v>
      </c>
      <c r="AD6" s="7" t="n">
        <f aca="false">P6*O6</f>
        <v>160380</v>
      </c>
      <c r="AE6" s="24" t="n">
        <f aca="false">IF(Y6&lt;Допущения!$B$12,1,0)</f>
        <v>1</v>
      </c>
      <c r="AF6" s="24" t="n">
        <f aca="false">IF(AND(ISNUMBER(AC6),AC6&gt;Допущения!$B$13),1,0)</f>
        <v>0</v>
      </c>
    </row>
    <row r="7" customFormat="false" ht="15" hidden="false" customHeight="false" outlineLevel="0" collapsed="false">
      <c r="A7" s="6" t="s">
        <v>112</v>
      </c>
      <c r="B7" s="6" t="s">
        <v>113</v>
      </c>
      <c r="C7" s="6" t="s">
        <v>111</v>
      </c>
      <c r="D7" s="20" t="n">
        <v>126</v>
      </c>
      <c r="E7" s="20" t="n">
        <v>50</v>
      </c>
      <c r="F7" s="20" t="n">
        <v>376740</v>
      </c>
      <c r="G7" s="20" t="n">
        <v>149500</v>
      </c>
      <c r="H7" s="20" t="n">
        <v>42610</v>
      </c>
      <c r="I7" s="20" t="n">
        <v>23940</v>
      </c>
      <c r="J7" s="20" t="n">
        <v>14440</v>
      </c>
      <c r="K7" s="20" t="n">
        <v>5396</v>
      </c>
      <c r="L7" s="20" t="n">
        <v>0</v>
      </c>
      <c r="M7" s="20" t="n">
        <v>1727</v>
      </c>
      <c r="N7" s="20" t="n">
        <v>25345</v>
      </c>
      <c r="O7" s="21" t="n">
        <v>1404</v>
      </c>
      <c r="P7" s="20" t="n">
        <v>51</v>
      </c>
      <c r="Q7" s="22" t="n">
        <v>9.75</v>
      </c>
      <c r="R7" s="20" t="n">
        <v>-57737.67</v>
      </c>
      <c r="S7" s="7" t="n">
        <f aca="false">E7*O7</f>
        <v>70200</v>
      </c>
      <c r="T7" s="7" t="n">
        <f aca="false">G7-H7-I7-J7-K7-L7-M7</f>
        <v>61387</v>
      </c>
      <c r="U7" s="7" t="n">
        <f aca="false">G7*Допущения!$B$6/(1+Допущения!$B$6)</f>
        <v>7119.04761904762</v>
      </c>
      <c r="V7" s="7" t="n">
        <f aca="false">(G7-U7)*Допущения!$B$7</f>
        <v>8542.85714285714</v>
      </c>
      <c r="W7" s="7" t="n">
        <f aca="false">T7-N7-S7-U7-V7</f>
        <v>-49819.9047619048</v>
      </c>
      <c r="X7" s="8" t="n">
        <f aca="false">IF(G7=0,0,W7/G7)</f>
        <v>-0.333243510113075</v>
      </c>
      <c r="Y7" s="8" t="n">
        <f aca="false">IF(D7=0,0,E7/D7)</f>
        <v>0.396825396825397</v>
      </c>
      <c r="Z7" s="8" t="n">
        <f aca="false">IF(F7=0,0,N7/F7)</f>
        <v>0.0672745129266868</v>
      </c>
      <c r="AA7" s="8" t="n">
        <f aca="false">IF(G7=0,0,N7/G7)</f>
        <v>0.169531772575251</v>
      </c>
      <c r="AB7" s="7" t="n">
        <f aca="false">IF(D7=0,0,I7*(D7-E7)/D7)+J7</f>
        <v>28880</v>
      </c>
      <c r="AC7" s="23" t="n">
        <f aca="false">IF(Q7=0,"",P7/Q7)</f>
        <v>5.23076923076923</v>
      </c>
      <c r="AD7" s="7" t="n">
        <f aca="false">P7*O7</f>
        <v>71604</v>
      </c>
      <c r="AE7" s="24" t="n">
        <f aca="false">IF(Y7&lt;Допущения!$B$12,1,0)</f>
        <v>1</v>
      </c>
      <c r="AF7" s="24" t="n">
        <f aca="false">IF(AND(ISNUMBER(AC7),AC7&gt;Допущения!$B$13),1,0)</f>
        <v>0</v>
      </c>
    </row>
    <row r="8" customFormat="false" ht="15" hidden="false" customHeight="false" outlineLevel="0" collapsed="false">
      <c r="A8" s="6" t="s">
        <v>114</v>
      </c>
      <c r="B8" s="6" t="s">
        <v>115</v>
      </c>
      <c r="C8" s="6" t="s">
        <v>111</v>
      </c>
      <c r="D8" s="20" t="n">
        <v>223</v>
      </c>
      <c r="E8" s="20" t="n">
        <v>120</v>
      </c>
      <c r="F8" s="20" t="n">
        <v>332270</v>
      </c>
      <c r="G8" s="20" t="n">
        <v>178800</v>
      </c>
      <c r="H8" s="20" t="n">
        <v>50065</v>
      </c>
      <c r="I8" s="20" t="n">
        <v>42370</v>
      </c>
      <c r="J8" s="20" t="n">
        <v>19570</v>
      </c>
      <c r="K8" s="20" t="n">
        <v>6982</v>
      </c>
      <c r="L8" s="20" t="n">
        <v>1080</v>
      </c>
      <c r="M8" s="20" t="n">
        <v>0</v>
      </c>
      <c r="N8" s="20" t="n">
        <v>36117</v>
      </c>
      <c r="O8" s="21" t="n">
        <v>562</v>
      </c>
      <c r="P8" s="20" t="n">
        <v>85</v>
      </c>
      <c r="Q8" s="22" t="n">
        <v>18.25</v>
      </c>
      <c r="R8" s="20" t="n">
        <v>-71253.1</v>
      </c>
      <c r="S8" s="7" t="n">
        <f aca="false">E8*O8</f>
        <v>67440</v>
      </c>
      <c r="T8" s="7" t="n">
        <f aca="false">G8-H8-I8-J8-K8-L8-M8</f>
        <v>58733</v>
      </c>
      <c r="U8" s="7" t="n">
        <f aca="false">G8*Допущения!$B$6/(1+Допущения!$B$6)</f>
        <v>8514.28571428571</v>
      </c>
      <c r="V8" s="7" t="n">
        <f aca="false">(G8-U8)*Допущения!$B$7</f>
        <v>10217.1428571429</v>
      </c>
      <c r="W8" s="7" t="n">
        <f aca="false">T8-N8-S8-U8-V8</f>
        <v>-63555.4285714286</v>
      </c>
      <c r="X8" s="8" t="n">
        <f aca="false">IF(G8=0,0,W8/G8)</f>
        <v>-0.355455417066155</v>
      </c>
      <c r="Y8" s="8" t="n">
        <f aca="false">IF(D8=0,0,E8/D8)</f>
        <v>0.538116591928251</v>
      </c>
      <c r="Z8" s="8" t="n">
        <f aca="false">IF(F8=0,0,N8/F8)</f>
        <v>0.108697745809131</v>
      </c>
      <c r="AA8" s="8" t="n">
        <f aca="false">IF(G8=0,0,N8/G8)</f>
        <v>0.201996644295302</v>
      </c>
      <c r="AB8" s="7" t="n">
        <f aca="false">IF(D8=0,0,I8*(D8-E8)/D8)+J8</f>
        <v>39140</v>
      </c>
      <c r="AC8" s="23" t="n">
        <f aca="false">IF(Q8=0,"",P8/Q8)</f>
        <v>4.65753424657534</v>
      </c>
      <c r="AD8" s="7" t="n">
        <f aca="false">P8*O8</f>
        <v>47770</v>
      </c>
      <c r="AE8" s="24" t="n">
        <f aca="false">IF(Y8&lt;Допущения!$B$12,1,0)</f>
        <v>1</v>
      </c>
      <c r="AF8" s="24" t="n">
        <f aca="false">IF(AND(ISNUMBER(AC8),AC8&gt;Допущения!$B$13),1,0)</f>
        <v>0</v>
      </c>
    </row>
    <row r="9" customFormat="false" ht="15" hidden="false" customHeight="false" outlineLevel="0" collapsed="false">
      <c r="A9" s="6" t="s">
        <v>116</v>
      </c>
      <c r="B9" s="6" t="s">
        <v>117</v>
      </c>
      <c r="C9" s="6" t="s">
        <v>118</v>
      </c>
      <c r="D9" s="20" t="n">
        <v>159</v>
      </c>
      <c r="E9" s="20" t="n">
        <v>62</v>
      </c>
      <c r="F9" s="20" t="n">
        <v>316410</v>
      </c>
      <c r="G9" s="20" t="n">
        <v>123380</v>
      </c>
      <c r="H9" s="20" t="n">
        <v>33292</v>
      </c>
      <c r="I9" s="20" t="n">
        <v>30210</v>
      </c>
      <c r="J9" s="20" t="n">
        <v>18430</v>
      </c>
      <c r="K9" s="20" t="n">
        <v>4094</v>
      </c>
      <c r="L9" s="20" t="n">
        <v>760</v>
      </c>
      <c r="M9" s="20" t="n">
        <v>0</v>
      </c>
      <c r="N9" s="20" t="n">
        <v>16758</v>
      </c>
      <c r="O9" s="21" t="n">
        <v>756</v>
      </c>
      <c r="P9" s="20" t="n">
        <v>107</v>
      </c>
      <c r="Q9" s="22" t="n">
        <v>12.5</v>
      </c>
      <c r="R9" s="20" t="n">
        <v>-38782.24</v>
      </c>
      <c r="S9" s="7" t="n">
        <f aca="false">E9*O9</f>
        <v>46872</v>
      </c>
      <c r="T9" s="7" t="n">
        <f aca="false">G9-H9-I9-J9-K9-L9-M9</f>
        <v>36594</v>
      </c>
      <c r="U9" s="7" t="n">
        <f aca="false">G9*Допущения!$B$6/(1+Допущения!$B$6)</f>
        <v>5875.2380952381</v>
      </c>
      <c r="V9" s="7" t="n">
        <f aca="false">(G9-U9)*Допущения!$B$7</f>
        <v>7050.28571428572</v>
      </c>
      <c r="W9" s="7" t="n">
        <f aca="false">T9-N9-S9-U9-V9</f>
        <v>-39961.5238095238</v>
      </c>
      <c r="X9" s="8" t="n">
        <f aca="false">IF(G9=0,0,W9/G9)</f>
        <v>-0.323889802314182</v>
      </c>
      <c r="Y9" s="8" t="n">
        <f aca="false">IF(D9=0,0,E9/D9)</f>
        <v>0.389937106918239</v>
      </c>
      <c r="Z9" s="8" t="n">
        <f aca="false">IF(F9=0,0,N9/F9)</f>
        <v>0.0529629278467811</v>
      </c>
      <c r="AA9" s="8" t="n">
        <f aca="false">IF(G9=0,0,N9/G9)</f>
        <v>0.135824282703842</v>
      </c>
      <c r="AB9" s="7" t="n">
        <f aca="false">IF(D9=0,0,I9*(D9-E9)/D9)+J9</f>
        <v>36860</v>
      </c>
      <c r="AC9" s="23" t="n">
        <f aca="false">IF(Q9=0,"",P9/Q9)</f>
        <v>8.56</v>
      </c>
      <c r="AD9" s="7" t="n">
        <f aca="false">P9*O9</f>
        <v>80892</v>
      </c>
      <c r="AE9" s="24" t="n">
        <f aca="false">IF(Y9&lt;Допущения!$B$12,1,0)</f>
        <v>1</v>
      </c>
      <c r="AF9" s="24" t="n">
        <f aca="false">IF(AND(ISNUMBER(AC9),AC9&gt;Допущения!$B$13),1,0)</f>
        <v>0</v>
      </c>
    </row>
    <row r="10" customFormat="false" ht="15" hidden="false" customHeight="false" outlineLevel="0" collapsed="false">
      <c r="A10" s="6" t="s">
        <v>119</v>
      </c>
      <c r="B10" s="6" t="s">
        <v>120</v>
      </c>
      <c r="C10" s="6" t="s">
        <v>111</v>
      </c>
      <c r="D10" s="20" t="n">
        <v>551</v>
      </c>
      <c r="E10" s="20" t="n">
        <v>483</v>
      </c>
      <c r="F10" s="20" t="n">
        <v>380190</v>
      </c>
      <c r="G10" s="20" t="n">
        <v>333270</v>
      </c>
      <c r="H10" s="20" t="n">
        <v>93496</v>
      </c>
      <c r="I10" s="20" t="n">
        <v>31958</v>
      </c>
      <c r="J10" s="20" t="n">
        <v>3944</v>
      </c>
      <c r="K10" s="20" t="n">
        <v>1137</v>
      </c>
      <c r="L10" s="20" t="n">
        <v>693</v>
      </c>
      <c r="M10" s="20" t="n">
        <v>1029</v>
      </c>
      <c r="N10" s="20" t="n">
        <v>25345</v>
      </c>
      <c r="O10" s="21" t="n">
        <v>227</v>
      </c>
      <c r="P10" s="20" t="n">
        <v>406</v>
      </c>
      <c r="Q10" s="22" t="n">
        <v>45.5</v>
      </c>
      <c r="R10" s="20" t="n">
        <v>41721.29</v>
      </c>
      <c r="S10" s="7" t="n">
        <f aca="false">E10*O10</f>
        <v>109641</v>
      </c>
      <c r="T10" s="7" t="n">
        <f aca="false">G10-H10-I10-J10-K10-L10-M10</f>
        <v>201013</v>
      </c>
      <c r="U10" s="7" t="n">
        <f aca="false">G10*Допущения!$B$6/(1+Допущения!$B$6)</f>
        <v>15870</v>
      </c>
      <c r="V10" s="7" t="n">
        <f aca="false">(G10-U10)*Допущения!$B$7</f>
        <v>19044</v>
      </c>
      <c r="W10" s="7" t="n">
        <f aca="false">T10-N10-S10-U10-V10</f>
        <v>31113</v>
      </c>
      <c r="X10" s="8" t="n">
        <f aca="false">IF(G10=0,0,W10/G10)</f>
        <v>0.0933567377801782</v>
      </c>
      <c r="Y10" s="8" t="n">
        <f aca="false">IF(D10=0,0,E10/D10)</f>
        <v>0.876588021778584</v>
      </c>
      <c r="Z10" s="8" t="n">
        <f aca="false">IF(F10=0,0,N10/F10)</f>
        <v>0.0666640364028512</v>
      </c>
      <c r="AA10" s="8" t="n">
        <f aca="false">IF(G10=0,0,N10/G10)</f>
        <v>0.0760494493953851</v>
      </c>
      <c r="AB10" s="7" t="n">
        <f aca="false">IF(D10=0,0,I10*(D10-E10)/D10)+J10</f>
        <v>7888</v>
      </c>
      <c r="AC10" s="23" t="n">
        <f aca="false">IF(Q10=0,"",P10/Q10)</f>
        <v>8.92307692307692</v>
      </c>
      <c r="AD10" s="7" t="n">
        <f aca="false">P10*O10</f>
        <v>92162</v>
      </c>
      <c r="AE10" s="24" t="n">
        <f aca="false">IF(Y10&lt;Допущения!$B$12,1,0)</f>
        <v>0</v>
      </c>
      <c r="AF10" s="24" t="n">
        <f aca="false">IF(AND(ISNUMBER(AC10),AC10&gt;Допущения!$B$13),1,0)</f>
        <v>0</v>
      </c>
    </row>
    <row r="11" customFormat="false" ht="15" hidden="false" customHeight="false" outlineLevel="0" collapsed="false">
      <c r="A11" s="6" t="s">
        <v>121</v>
      </c>
      <c r="B11" s="6" t="s">
        <v>122</v>
      </c>
      <c r="C11" s="6" t="s">
        <v>123</v>
      </c>
      <c r="D11" s="20" t="n">
        <v>503</v>
      </c>
      <c r="E11" s="20" t="n">
        <v>439</v>
      </c>
      <c r="F11" s="20" t="n">
        <v>447670</v>
      </c>
      <c r="G11" s="20" t="n">
        <v>390710</v>
      </c>
      <c r="H11" s="20" t="n">
        <v>101968</v>
      </c>
      <c r="I11" s="20" t="n">
        <v>48288</v>
      </c>
      <c r="J11" s="20" t="n">
        <v>6144</v>
      </c>
      <c r="K11" s="20" t="n">
        <v>3893</v>
      </c>
      <c r="L11" s="20" t="n">
        <v>1614</v>
      </c>
      <c r="M11" s="20" t="n">
        <v>2447</v>
      </c>
      <c r="N11" s="20" t="n">
        <v>36798</v>
      </c>
      <c r="O11" s="21" t="n">
        <v>313</v>
      </c>
      <c r="P11" s="20" t="n">
        <v>149</v>
      </c>
      <c r="Q11" s="22" t="n">
        <v>41.75</v>
      </c>
      <c r="R11" s="20" t="n">
        <v>26568.24</v>
      </c>
      <c r="S11" s="7" t="n">
        <f aca="false">E11*O11</f>
        <v>137407</v>
      </c>
      <c r="T11" s="7" t="n">
        <f aca="false">G11-H11-I11-J11-K11-L11-M11</f>
        <v>226356</v>
      </c>
      <c r="U11" s="7" t="n">
        <f aca="false">G11*Допущения!$B$6/(1+Допущения!$B$6)</f>
        <v>18605.2380952381</v>
      </c>
      <c r="V11" s="7" t="n">
        <f aca="false">(G11-U11)*Допущения!$B$7</f>
        <v>22326.2857142857</v>
      </c>
      <c r="W11" s="7" t="n">
        <f aca="false">T11-N11-S11-U11-V11</f>
        <v>11219.4761904762</v>
      </c>
      <c r="X11" s="8" t="n">
        <f aca="false">IF(G11=0,0,W11/G11)</f>
        <v>0.0287156105307676</v>
      </c>
      <c r="Y11" s="8" t="n">
        <f aca="false">IF(D11=0,0,E11/D11)</f>
        <v>0.872763419483101</v>
      </c>
      <c r="Z11" s="8" t="n">
        <f aca="false">IF(F11=0,0,N11/F11)</f>
        <v>0.0821989411843545</v>
      </c>
      <c r="AA11" s="8" t="n">
        <f aca="false">IF(G11=0,0,N11/G11)</f>
        <v>0.0941823859128254</v>
      </c>
      <c r="AB11" s="7" t="n">
        <f aca="false">IF(D11=0,0,I11*(D11-E11)/D11)+J11</f>
        <v>12288</v>
      </c>
      <c r="AC11" s="23" t="n">
        <f aca="false">IF(Q11=0,"",P11/Q11)</f>
        <v>3.5688622754491</v>
      </c>
      <c r="AD11" s="7" t="n">
        <f aca="false">P11*O11</f>
        <v>46637</v>
      </c>
      <c r="AE11" s="24" t="n">
        <f aca="false">IF(Y11&lt;Допущения!$B$12,1,0)</f>
        <v>0</v>
      </c>
      <c r="AF11" s="24" t="n">
        <f aca="false">IF(AND(ISNUMBER(AC11),AC11&gt;Допущения!$B$13),1,0)</f>
        <v>0</v>
      </c>
    </row>
    <row r="12" customFormat="false" ht="15" hidden="false" customHeight="false" outlineLevel="0" collapsed="false">
      <c r="A12" s="6" t="s">
        <v>124</v>
      </c>
      <c r="B12" s="6" t="s">
        <v>125</v>
      </c>
      <c r="C12" s="6" t="s">
        <v>123</v>
      </c>
      <c r="D12" s="20" t="n">
        <v>291</v>
      </c>
      <c r="E12" s="20" t="n">
        <v>239</v>
      </c>
      <c r="F12" s="20" t="n">
        <v>462690</v>
      </c>
      <c r="G12" s="20" t="n">
        <v>380010</v>
      </c>
      <c r="H12" s="20" t="n">
        <v>99248</v>
      </c>
      <c r="I12" s="20" t="n">
        <v>27936</v>
      </c>
      <c r="J12" s="20" t="n">
        <v>4992</v>
      </c>
      <c r="K12" s="20" t="n">
        <v>2023</v>
      </c>
      <c r="L12" s="20" t="n">
        <v>966</v>
      </c>
      <c r="M12" s="20" t="n">
        <v>0</v>
      </c>
      <c r="N12" s="20" t="n">
        <v>44173</v>
      </c>
      <c r="O12" s="21" t="n">
        <v>583</v>
      </c>
      <c r="P12" s="20" t="n">
        <v>183</v>
      </c>
      <c r="Q12" s="22" t="n">
        <v>23.5</v>
      </c>
      <c r="R12" s="20" t="n">
        <v>32734.86</v>
      </c>
      <c r="S12" s="7" t="n">
        <f aca="false">E12*O12</f>
        <v>139337</v>
      </c>
      <c r="T12" s="7" t="n">
        <f aca="false">G12-H12-I12-J12-K12-L12-M12</f>
        <v>244845</v>
      </c>
      <c r="U12" s="7" t="n">
        <f aca="false">G12*Допущения!$B$6/(1+Допущения!$B$6)</f>
        <v>18095.7142857143</v>
      </c>
      <c r="V12" s="7" t="n">
        <f aca="false">(G12-U12)*Допущения!$B$7</f>
        <v>21714.8571428571</v>
      </c>
      <c r="W12" s="7" t="n">
        <f aca="false">T12-N12-S12-U12-V12</f>
        <v>21524.4285714286</v>
      </c>
      <c r="X12" s="8" t="n">
        <f aca="false">IF(G12=0,0,W12/G12)</f>
        <v>0.0566417425105354</v>
      </c>
      <c r="Y12" s="8" t="n">
        <f aca="false">IF(D12=0,0,E12/D12)</f>
        <v>0.821305841924399</v>
      </c>
      <c r="Z12" s="8" t="n">
        <f aca="false">IF(F12=0,0,N12/F12)</f>
        <v>0.0954699690937777</v>
      </c>
      <c r="AA12" s="8" t="n">
        <f aca="false">IF(G12=0,0,N12/G12)</f>
        <v>0.116241677850583</v>
      </c>
      <c r="AB12" s="7" t="n">
        <f aca="false">IF(D12=0,0,I12*(D12-E12)/D12)+J12</f>
        <v>9984</v>
      </c>
      <c r="AC12" s="23" t="n">
        <f aca="false">IF(Q12=0,"",P12/Q12)</f>
        <v>7.78723404255319</v>
      </c>
      <c r="AD12" s="7" t="n">
        <f aca="false">P12*O12</f>
        <v>106689</v>
      </c>
      <c r="AE12" s="24" t="n">
        <f aca="false">IF(Y12&lt;Допущения!$B$12,1,0)</f>
        <v>0</v>
      </c>
      <c r="AF12" s="24" t="n">
        <f aca="false">IF(AND(ISNUMBER(AC12),AC12&gt;Допущения!$B$13),1,0)</f>
        <v>0</v>
      </c>
    </row>
    <row r="13" customFormat="false" ht="15" hidden="false" customHeight="false" outlineLevel="0" collapsed="false">
      <c r="A13" s="6" t="s">
        <v>126</v>
      </c>
      <c r="B13" s="6" t="s">
        <v>127</v>
      </c>
      <c r="C13" s="6" t="s">
        <v>123</v>
      </c>
      <c r="D13" s="20" t="n">
        <v>407</v>
      </c>
      <c r="E13" s="20" t="n">
        <v>332</v>
      </c>
      <c r="F13" s="20" t="n">
        <v>321530</v>
      </c>
      <c r="G13" s="20" t="n">
        <v>262280</v>
      </c>
      <c r="H13" s="20" t="n">
        <v>68583</v>
      </c>
      <c r="I13" s="20" t="n">
        <v>39072</v>
      </c>
      <c r="J13" s="20" t="n">
        <v>7200</v>
      </c>
      <c r="K13" s="20" t="n">
        <v>2743</v>
      </c>
      <c r="L13" s="20" t="n">
        <v>1335</v>
      </c>
      <c r="M13" s="20" t="n">
        <v>2040</v>
      </c>
      <c r="N13" s="20" t="n">
        <v>22223</v>
      </c>
      <c r="O13" s="21" t="n">
        <v>270</v>
      </c>
      <c r="P13" s="20" t="n">
        <v>239</v>
      </c>
      <c r="Q13" s="22" t="n">
        <v>31.5</v>
      </c>
      <c r="R13" s="20" t="n">
        <v>15292.33</v>
      </c>
      <c r="S13" s="7" t="n">
        <f aca="false">E13*O13</f>
        <v>89640</v>
      </c>
      <c r="T13" s="7" t="n">
        <f aca="false">G13-H13-I13-J13-K13-L13-M13</f>
        <v>141307</v>
      </c>
      <c r="U13" s="7" t="n">
        <f aca="false">G13*Допущения!$B$6/(1+Допущения!$B$6)</f>
        <v>12489.5238095238</v>
      </c>
      <c r="V13" s="7" t="n">
        <f aca="false">(G13-U13)*Допущения!$B$7</f>
        <v>14987.4285714286</v>
      </c>
      <c r="W13" s="7" t="n">
        <f aca="false">T13-N13-S13-U13-V13</f>
        <v>1967.04761904762</v>
      </c>
      <c r="X13" s="8" t="n">
        <f aca="false">IF(G13=0,0,W13/G13)</f>
        <v>0.00749980028613551</v>
      </c>
      <c r="Y13" s="8" t="n">
        <f aca="false">IF(D13=0,0,E13/D13)</f>
        <v>0.815724815724816</v>
      </c>
      <c r="Z13" s="8" t="n">
        <f aca="false">IF(F13=0,0,N13/F13)</f>
        <v>0.0691164121543868</v>
      </c>
      <c r="AA13" s="8" t="n">
        <f aca="false">IF(G13=0,0,N13/G13)</f>
        <v>0.08473005947842</v>
      </c>
      <c r="AB13" s="7" t="n">
        <f aca="false">IF(D13=0,0,I13*(D13-E13)/D13)+J13</f>
        <v>14400</v>
      </c>
      <c r="AC13" s="23" t="n">
        <f aca="false">IF(Q13=0,"",P13/Q13)</f>
        <v>7.58730158730159</v>
      </c>
      <c r="AD13" s="7" t="n">
        <f aca="false">P13*O13</f>
        <v>64530</v>
      </c>
      <c r="AE13" s="24" t="n">
        <f aca="false">IF(Y13&lt;Допущения!$B$12,1,0)</f>
        <v>0</v>
      </c>
      <c r="AF13" s="24" t="n">
        <f aca="false">IF(AND(ISNUMBER(AC13),AC13&gt;Допущения!$B$13),1,0)</f>
        <v>0</v>
      </c>
    </row>
    <row r="14" customFormat="false" ht="15" hidden="false" customHeight="false" outlineLevel="0" collapsed="false">
      <c r="A14" s="6" t="s">
        <v>128</v>
      </c>
      <c r="B14" s="6" t="s">
        <v>129</v>
      </c>
      <c r="C14" s="6" t="s">
        <v>123</v>
      </c>
      <c r="D14" s="20" t="n">
        <v>329</v>
      </c>
      <c r="E14" s="20" t="n">
        <v>262</v>
      </c>
      <c r="F14" s="20" t="n">
        <v>227010</v>
      </c>
      <c r="G14" s="20" t="n">
        <v>180780</v>
      </c>
      <c r="H14" s="20" t="n">
        <v>47342</v>
      </c>
      <c r="I14" s="20" t="n">
        <v>19082</v>
      </c>
      <c r="J14" s="20" t="n">
        <v>3886</v>
      </c>
      <c r="K14" s="20" t="n">
        <v>674</v>
      </c>
      <c r="L14" s="20" t="n">
        <v>173</v>
      </c>
      <c r="M14" s="20" t="n">
        <v>0</v>
      </c>
      <c r="N14" s="20" t="n">
        <v>12372</v>
      </c>
      <c r="O14" s="21" t="n">
        <v>205</v>
      </c>
      <c r="P14" s="20" t="n">
        <v>88</v>
      </c>
      <c r="Q14" s="22" t="n">
        <v>27.25</v>
      </c>
      <c r="R14" s="20" t="n">
        <v>34652.29</v>
      </c>
      <c r="S14" s="7" t="n">
        <f aca="false">E14*O14</f>
        <v>53710</v>
      </c>
      <c r="T14" s="7" t="n">
        <f aca="false">G14-H14-I14-J14-K14-L14-M14</f>
        <v>109623</v>
      </c>
      <c r="U14" s="7" t="n">
        <f aca="false">G14*Допущения!$B$6/(1+Допущения!$B$6)</f>
        <v>8608.57142857143</v>
      </c>
      <c r="V14" s="7" t="n">
        <f aca="false">(G14-U14)*Допущения!$B$7</f>
        <v>10330.2857142857</v>
      </c>
      <c r="W14" s="7" t="n">
        <f aca="false">T14-N14-S14-U14-V14</f>
        <v>24602.1428571429</v>
      </c>
      <c r="X14" s="8" t="n">
        <f aca="false">IF(G14=0,0,W14/G14)</f>
        <v>0.136088853065289</v>
      </c>
      <c r="Y14" s="8" t="n">
        <f aca="false">IF(D14=0,0,E14/D14)</f>
        <v>0.796352583586626</v>
      </c>
      <c r="Z14" s="8" t="n">
        <f aca="false">IF(F14=0,0,N14/F14)</f>
        <v>0.0544998017708471</v>
      </c>
      <c r="AA14" s="8" t="n">
        <f aca="false">IF(G14=0,0,N14/G14)</f>
        <v>0.0684367739794225</v>
      </c>
      <c r="AB14" s="7" t="n">
        <f aca="false">IF(D14=0,0,I14*(D14-E14)/D14)+J14</f>
        <v>7772</v>
      </c>
      <c r="AC14" s="23" t="n">
        <f aca="false">IF(Q14=0,"",P14/Q14)</f>
        <v>3.22935779816514</v>
      </c>
      <c r="AD14" s="7" t="n">
        <f aca="false">P14*O14</f>
        <v>18040</v>
      </c>
      <c r="AE14" s="24" t="n">
        <f aca="false">IF(Y14&lt;Допущения!$B$12,1,0)</f>
        <v>0</v>
      </c>
      <c r="AF14" s="24" t="n">
        <f aca="false">IF(AND(ISNUMBER(AC14),AC14&gt;Допущения!$B$13),1,0)</f>
        <v>0</v>
      </c>
    </row>
    <row r="15" customFormat="false" ht="15" hidden="false" customHeight="false" outlineLevel="0" collapsed="false">
      <c r="A15" s="6" t="s">
        <v>130</v>
      </c>
      <c r="B15" s="6" t="s">
        <v>131</v>
      </c>
      <c r="C15" s="6" t="s">
        <v>123</v>
      </c>
      <c r="D15" s="20" t="n">
        <v>227</v>
      </c>
      <c r="E15" s="20" t="n">
        <v>198</v>
      </c>
      <c r="F15" s="20" t="n">
        <v>224730</v>
      </c>
      <c r="G15" s="20" t="n">
        <v>196020</v>
      </c>
      <c r="H15" s="20" t="n">
        <v>51075</v>
      </c>
      <c r="I15" s="20" t="n">
        <v>21792</v>
      </c>
      <c r="J15" s="20" t="n">
        <v>2784</v>
      </c>
      <c r="K15" s="20" t="n">
        <v>1691</v>
      </c>
      <c r="L15" s="20" t="n">
        <v>369</v>
      </c>
      <c r="M15" s="20" t="n">
        <v>0</v>
      </c>
      <c r="N15" s="20" t="n">
        <v>18281</v>
      </c>
      <c r="O15" s="21" t="n">
        <v>335</v>
      </c>
      <c r="P15" s="20" t="n">
        <v>51</v>
      </c>
      <c r="Q15" s="22" t="n">
        <v>18.25</v>
      </c>
      <c r="R15" s="20" t="n">
        <v>21170.29</v>
      </c>
      <c r="S15" s="7" t="n">
        <f aca="false">E15*O15</f>
        <v>66330</v>
      </c>
      <c r="T15" s="7" t="n">
        <f aca="false">G15-H15-I15-J15-K15-L15-M15</f>
        <v>118309</v>
      </c>
      <c r="U15" s="7" t="n">
        <f aca="false">G15*Допущения!$B$6/(1+Допущения!$B$6)</f>
        <v>9334.28571428571</v>
      </c>
      <c r="V15" s="7" t="n">
        <f aca="false">(G15-U15)*Допущения!$B$7</f>
        <v>11201.1428571429</v>
      </c>
      <c r="W15" s="7" t="n">
        <f aca="false">T15-N15-S15-U15-V15</f>
        <v>13162.5714285714</v>
      </c>
      <c r="X15" s="8" t="n">
        <f aca="false">IF(G15=0,0,W15/G15)</f>
        <v>0.0671491247248823</v>
      </c>
      <c r="Y15" s="8" t="n">
        <f aca="false">IF(D15=0,0,E15/D15)</f>
        <v>0.872246696035242</v>
      </c>
      <c r="Z15" s="8" t="n">
        <f aca="false">IF(F15=0,0,N15/F15)</f>
        <v>0.0813465046945223</v>
      </c>
      <c r="AA15" s="8" t="n">
        <f aca="false">IF(G15=0,0,N15/G15)</f>
        <v>0.0932608917457402</v>
      </c>
      <c r="AB15" s="7" t="n">
        <f aca="false">IF(D15=0,0,I15*(D15-E15)/D15)+J15</f>
        <v>5568</v>
      </c>
      <c r="AC15" s="23" t="n">
        <f aca="false">IF(Q15=0,"",P15/Q15)</f>
        <v>2.79452054794521</v>
      </c>
      <c r="AD15" s="7" t="n">
        <f aca="false">P15*O15</f>
        <v>17085</v>
      </c>
      <c r="AE15" s="24" t="n">
        <f aca="false">IF(Y15&lt;Допущения!$B$12,1,0)</f>
        <v>0</v>
      </c>
      <c r="AF15" s="24" t="n">
        <f aca="false">IF(AND(ISNUMBER(AC15),AC15&gt;Допущения!$B$13),1,0)</f>
        <v>0</v>
      </c>
    </row>
    <row r="16" customFormat="false" ht="15" hidden="false" customHeight="false" outlineLevel="0" collapsed="false">
      <c r="A16" s="6" t="s">
        <v>132</v>
      </c>
      <c r="B16" s="6" t="s">
        <v>133</v>
      </c>
      <c r="C16" s="6" t="s">
        <v>91</v>
      </c>
      <c r="D16" s="20" t="n">
        <v>729</v>
      </c>
      <c r="E16" s="20" t="n">
        <v>652</v>
      </c>
      <c r="F16" s="20" t="n">
        <v>940410</v>
      </c>
      <c r="G16" s="20" t="n">
        <v>841080</v>
      </c>
      <c r="H16" s="20" t="n">
        <v>211417</v>
      </c>
      <c r="I16" s="20" t="n">
        <v>69984</v>
      </c>
      <c r="J16" s="20" t="n">
        <v>7392</v>
      </c>
      <c r="K16" s="20" t="n">
        <v>5252</v>
      </c>
      <c r="L16" s="20" t="n">
        <v>2361</v>
      </c>
      <c r="M16" s="20" t="n">
        <v>3449</v>
      </c>
      <c r="N16" s="20" t="n">
        <v>76471</v>
      </c>
      <c r="O16" s="21" t="n">
        <v>410</v>
      </c>
      <c r="P16" s="20" t="n">
        <v>284</v>
      </c>
      <c r="Q16" s="22" t="n">
        <v>59.5</v>
      </c>
      <c r="R16" s="20" t="n">
        <v>146933.43</v>
      </c>
      <c r="S16" s="7" t="n">
        <f aca="false">E16*O16</f>
        <v>267320</v>
      </c>
      <c r="T16" s="7" t="n">
        <f aca="false">G16-H16-I16-J16-K16-L16-M16</f>
        <v>541225</v>
      </c>
      <c r="U16" s="7" t="n">
        <f aca="false">G16*Допущения!$B$6/(1+Допущения!$B$6)</f>
        <v>40051.4285714286</v>
      </c>
      <c r="V16" s="7" t="n">
        <f aca="false">(G16-U16)*Допущения!$B$7</f>
        <v>48061.7142857143</v>
      </c>
      <c r="W16" s="7" t="n">
        <f aca="false">T16-N16-S16-U16-V16</f>
        <v>109320.857142857</v>
      </c>
      <c r="X16" s="8" t="n">
        <f aca="false">IF(G16=0,0,W16/G16)</f>
        <v>0.129976764568004</v>
      </c>
      <c r="Y16" s="8" t="n">
        <f aca="false">IF(D16=0,0,E16/D16)</f>
        <v>0.89437585733882</v>
      </c>
      <c r="Z16" s="8" t="n">
        <f aca="false">IF(F16=0,0,N16/F16)</f>
        <v>0.0813166597547878</v>
      </c>
      <c r="AA16" s="8" t="n">
        <f aca="false">IF(G16=0,0,N16/G16)</f>
        <v>0.0909200076092643</v>
      </c>
      <c r="AB16" s="7" t="n">
        <f aca="false">IF(D16=0,0,I16*(D16-E16)/D16)+J16</f>
        <v>14784</v>
      </c>
      <c r="AC16" s="23" t="n">
        <f aca="false">IF(Q16=0,"",P16/Q16)</f>
        <v>4.77310924369748</v>
      </c>
      <c r="AD16" s="7" t="n">
        <f aca="false">P16*O16</f>
        <v>116440</v>
      </c>
      <c r="AE16" s="24" t="n">
        <f aca="false">IF(Y16&lt;Допущения!$B$12,1,0)</f>
        <v>0</v>
      </c>
      <c r="AF16" s="24" t="n">
        <f aca="false">IF(AND(ISNUMBER(AC16),AC16&gt;Допущения!$B$13),1,0)</f>
        <v>0</v>
      </c>
    </row>
    <row r="17" customFormat="false" ht="15" hidden="false" customHeight="false" outlineLevel="0" collapsed="false">
      <c r="A17" s="6" t="s">
        <v>134</v>
      </c>
      <c r="B17" s="6" t="s">
        <v>135</v>
      </c>
      <c r="C17" s="6" t="s">
        <v>91</v>
      </c>
      <c r="D17" s="20" t="n">
        <v>343</v>
      </c>
      <c r="E17" s="20" t="n">
        <v>292</v>
      </c>
      <c r="F17" s="20" t="n">
        <v>613970</v>
      </c>
      <c r="G17" s="20" t="n">
        <v>522680</v>
      </c>
      <c r="H17" s="20" t="n">
        <v>130922</v>
      </c>
      <c r="I17" s="20" t="n">
        <v>65170</v>
      </c>
      <c r="J17" s="20" t="n">
        <v>9690</v>
      </c>
      <c r="K17" s="20" t="n">
        <v>8680</v>
      </c>
      <c r="L17" s="20" t="n">
        <v>1480</v>
      </c>
      <c r="M17" s="20" t="n">
        <v>0</v>
      </c>
      <c r="N17" s="20" t="n">
        <v>49605</v>
      </c>
      <c r="O17" s="21" t="n">
        <v>659</v>
      </c>
      <c r="P17" s="20" t="n">
        <v>71</v>
      </c>
      <c r="Q17" s="22" t="n">
        <v>26.75</v>
      </c>
      <c r="R17" s="20" t="n">
        <v>29459.38</v>
      </c>
      <c r="S17" s="7" t="n">
        <f aca="false">E17*O17</f>
        <v>192428</v>
      </c>
      <c r="T17" s="7" t="n">
        <f aca="false">G17-H17-I17-J17-K17-L17-M17</f>
        <v>306738</v>
      </c>
      <c r="U17" s="7" t="n">
        <f aca="false">G17*Допущения!$B$6/(1+Допущения!$B$6)</f>
        <v>24889.5238095238</v>
      </c>
      <c r="V17" s="7" t="n">
        <f aca="false">(G17-U17)*Допущения!$B$7</f>
        <v>29867.4285714286</v>
      </c>
      <c r="W17" s="7" t="n">
        <f aca="false">T17-N17-S17-U17-V17</f>
        <v>9948.04761904762</v>
      </c>
      <c r="X17" s="8" t="n">
        <f aca="false">IF(G17=0,0,W17/G17)</f>
        <v>0.0190327688433604</v>
      </c>
      <c r="Y17" s="8" t="n">
        <f aca="false">IF(D17=0,0,E17/D17)</f>
        <v>0.85131195335277</v>
      </c>
      <c r="Z17" s="8" t="n">
        <f aca="false">IF(F17=0,0,N17/F17)</f>
        <v>0.0807938498623711</v>
      </c>
      <c r="AA17" s="8" t="n">
        <f aca="false">IF(G17=0,0,N17/G17)</f>
        <v>0.0949051044616209</v>
      </c>
      <c r="AB17" s="7" t="n">
        <f aca="false">IF(D17=0,0,I17*(D17-E17)/D17)+J17</f>
        <v>19380</v>
      </c>
      <c r="AC17" s="23" t="n">
        <f aca="false">IF(Q17=0,"",P17/Q17)</f>
        <v>2.65420560747664</v>
      </c>
      <c r="AD17" s="7" t="n">
        <f aca="false">P17*O17</f>
        <v>46789</v>
      </c>
      <c r="AE17" s="24" t="n">
        <f aca="false">IF(Y17&lt;Допущения!$B$12,1,0)</f>
        <v>0</v>
      </c>
      <c r="AF17" s="24" t="n">
        <f aca="false">IF(AND(ISNUMBER(AC17),AC17&gt;Допущения!$B$13),1,0)</f>
        <v>0</v>
      </c>
    </row>
    <row r="18" customFormat="false" ht="15" hidden="false" customHeight="false" outlineLevel="0" collapsed="false">
      <c r="A18" s="6" t="s">
        <v>136</v>
      </c>
      <c r="B18" s="6" t="s">
        <v>137</v>
      </c>
      <c r="C18" s="6" t="s">
        <v>91</v>
      </c>
      <c r="D18" s="20" t="n">
        <v>357</v>
      </c>
      <c r="E18" s="20" t="n">
        <v>319</v>
      </c>
      <c r="F18" s="20" t="n">
        <v>424830</v>
      </c>
      <c r="G18" s="20" t="n">
        <v>379610</v>
      </c>
      <c r="H18" s="20" t="n">
        <v>94998</v>
      </c>
      <c r="I18" s="20" t="n">
        <v>34272</v>
      </c>
      <c r="J18" s="20" t="n">
        <v>3648</v>
      </c>
      <c r="K18" s="20" t="n">
        <v>2591</v>
      </c>
      <c r="L18" s="20" t="n">
        <v>1182</v>
      </c>
      <c r="M18" s="20" t="n">
        <v>2293</v>
      </c>
      <c r="N18" s="20" t="n">
        <v>28884</v>
      </c>
      <c r="O18" s="21" t="n">
        <v>389</v>
      </c>
      <c r="P18" s="20" t="n">
        <v>171</v>
      </c>
      <c r="Q18" s="22" t="n">
        <v>29</v>
      </c>
      <c r="R18" s="20" t="n">
        <v>54875</v>
      </c>
      <c r="S18" s="7" t="n">
        <f aca="false">E18*O18</f>
        <v>124091</v>
      </c>
      <c r="T18" s="7" t="n">
        <f aca="false">G18-H18-I18-J18-K18-L18-M18</f>
        <v>240626</v>
      </c>
      <c r="U18" s="7" t="n">
        <f aca="false">G18*Допущения!$B$6/(1+Допущения!$B$6)</f>
        <v>18076.6666666667</v>
      </c>
      <c r="V18" s="7" t="n">
        <f aca="false">(G18-U18)*Допущения!$B$7</f>
        <v>21692</v>
      </c>
      <c r="W18" s="7" t="n">
        <f aca="false">T18-N18-S18-U18-V18</f>
        <v>47882.3333333333</v>
      </c>
      <c r="X18" s="8" t="n">
        <f aca="false">IF(G18=0,0,W18/G18)</f>
        <v>0.126135595303952</v>
      </c>
      <c r="Y18" s="8" t="n">
        <f aca="false">IF(D18=0,0,E18/D18)</f>
        <v>0.893557422969188</v>
      </c>
      <c r="Z18" s="8" t="n">
        <f aca="false">IF(F18=0,0,N18/F18)</f>
        <v>0.0679895487606807</v>
      </c>
      <c r="AA18" s="8" t="n">
        <f aca="false">IF(G18=0,0,N18/G18)</f>
        <v>0.0760886172650879</v>
      </c>
      <c r="AB18" s="7" t="n">
        <f aca="false">IF(D18=0,0,I18*(D18-E18)/D18)+J18</f>
        <v>7296</v>
      </c>
      <c r="AC18" s="23" t="n">
        <f aca="false">IF(Q18=0,"",P18/Q18)</f>
        <v>5.89655172413793</v>
      </c>
      <c r="AD18" s="7" t="n">
        <f aca="false">P18*O18</f>
        <v>66519</v>
      </c>
      <c r="AE18" s="24" t="n">
        <f aca="false">IF(Y18&lt;Допущения!$B$12,1,0)</f>
        <v>0</v>
      </c>
      <c r="AF18" s="24" t="n">
        <f aca="false">IF(AND(ISNUMBER(AC18),AC18&gt;Допущения!$B$13),1,0)</f>
        <v>0</v>
      </c>
    </row>
    <row r="19" customFormat="false" ht="15" hidden="false" customHeight="false" outlineLevel="0" collapsed="false">
      <c r="A19" s="6" t="s">
        <v>138</v>
      </c>
      <c r="B19" s="6" t="s">
        <v>139</v>
      </c>
      <c r="C19" s="6" t="s">
        <v>91</v>
      </c>
      <c r="D19" s="20" t="n">
        <v>528</v>
      </c>
      <c r="E19" s="20" t="n">
        <v>473</v>
      </c>
      <c r="F19" s="20" t="n">
        <v>417120</v>
      </c>
      <c r="G19" s="20" t="n">
        <v>373670</v>
      </c>
      <c r="H19" s="20" t="n">
        <v>93782</v>
      </c>
      <c r="I19" s="20" t="n">
        <v>30624</v>
      </c>
      <c r="J19" s="20" t="n">
        <v>3190</v>
      </c>
      <c r="K19" s="20" t="n">
        <v>1089</v>
      </c>
      <c r="L19" s="20" t="n">
        <v>591</v>
      </c>
      <c r="M19" s="20" t="n">
        <v>1245</v>
      </c>
      <c r="N19" s="20" t="n">
        <v>28315</v>
      </c>
      <c r="O19" s="21" t="n">
        <v>238</v>
      </c>
      <c r="P19" s="20" t="n">
        <v>251</v>
      </c>
      <c r="Q19" s="22" t="n">
        <v>44.75</v>
      </c>
      <c r="R19" s="20" t="n">
        <v>79088.1</v>
      </c>
      <c r="S19" s="7" t="n">
        <f aca="false">E19*O19</f>
        <v>112574</v>
      </c>
      <c r="T19" s="7" t="n">
        <f aca="false">G19-H19-I19-J19-K19-L19-M19</f>
        <v>243149</v>
      </c>
      <c r="U19" s="7" t="n">
        <f aca="false">G19*Допущения!$B$6/(1+Допущения!$B$6)</f>
        <v>17793.8095238095</v>
      </c>
      <c r="V19" s="7" t="n">
        <f aca="false">(G19-U19)*Допущения!$B$7</f>
        <v>21352.5714285714</v>
      </c>
      <c r="W19" s="7" t="n">
        <f aca="false">T19-N19-S19-U19-V19</f>
        <v>63113.619047619</v>
      </c>
      <c r="X19" s="8" t="n">
        <f aca="false">IF(G19=0,0,W19/G19)</f>
        <v>0.168902023302965</v>
      </c>
      <c r="Y19" s="8" t="n">
        <f aca="false">IF(D19=0,0,E19/D19)</f>
        <v>0.895833333333333</v>
      </c>
      <c r="Z19" s="8" t="n">
        <f aca="false">IF(F19=0,0,N19/F19)</f>
        <v>0.0678821442270809</v>
      </c>
      <c r="AA19" s="8" t="n">
        <f aca="false">IF(G19=0,0,N19/G19)</f>
        <v>0.0757754168116252</v>
      </c>
      <c r="AB19" s="7" t="n">
        <f aca="false">IF(D19=0,0,I19*(D19-E19)/D19)+J19</f>
        <v>6380</v>
      </c>
      <c r="AC19" s="23" t="n">
        <f aca="false">IF(Q19=0,"",P19/Q19)</f>
        <v>5.60893854748603</v>
      </c>
      <c r="AD19" s="7" t="n">
        <f aca="false">P19*O19</f>
        <v>59738</v>
      </c>
      <c r="AE19" s="24" t="n">
        <f aca="false">IF(Y19&lt;Допущения!$B$12,1,0)</f>
        <v>0</v>
      </c>
      <c r="AF19" s="24" t="n">
        <f aca="false">IF(AND(ISNUMBER(AC19),AC19&gt;Допущения!$B$13),1,0)</f>
        <v>0</v>
      </c>
    </row>
    <row r="20" customFormat="false" ht="15" hidden="false" customHeight="false" outlineLevel="0" collapsed="false">
      <c r="A20" s="6" t="s">
        <v>140</v>
      </c>
      <c r="B20" s="6" t="s">
        <v>141</v>
      </c>
      <c r="C20" s="6" t="s">
        <v>91</v>
      </c>
      <c r="D20" s="20" t="n">
        <v>19</v>
      </c>
      <c r="E20" s="20" t="n">
        <v>16</v>
      </c>
      <c r="F20" s="20" t="n">
        <v>43510</v>
      </c>
      <c r="G20" s="20" t="n">
        <v>36640</v>
      </c>
      <c r="H20" s="20" t="n">
        <v>8979</v>
      </c>
      <c r="I20" s="20" t="n">
        <v>3610</v>
      </c>
      <c r="J20" s="20" t="n">
        <v>570</v>
      </c>
      <c r="K20" s="20" t="n">
        <v>9974</v>
      </c>
      <c r="L20" s="20" t="n">
        <v>0</v>
      </c>
      <c r="M20" s="20" t="n">
        <v>0</v>
      </c>
      <c r="N20" s="20" t="n">
        <v>1130</v>
      </c>
      <c r="O20" s="21" t="n">
        <v>886</v>
      </c>
      <c r="P20" s="20" t="n">
        <v>139</v>
      </c>
      <c r="Q20" s="22" t="n">
        <v>0.75</v>
      </c>
      <c r="R20" s="20" t="n">
        <v>-3078.52</v>
      </c>
      <c r="S20" s="7" t="n">
        <f aca="false">E20*O20</f>
        <v>14176</v>
      </c>
      <c r="T20" s="7" t="n">
        <f aca="false">G20-H20-I20-J20-K20-L20-M20</f>
        <v>13507</v>
      </c>
      <c r="U20" s="7" t="n">
        <f aca="false">G20*Допущения!$B$6/(1+Допущения!$B$6)</f>
        <v>1744.7619047619</v>
      </c>
      <c r="V20" s="7" t="n">
        <f aca="false">(G20-U20)*Допущения!$B$7</f>
        <v>2093.71428571429</v>
      </c>
      <c r="W20" s="7" t="n">
        <f aca="false">T20-N20-S20-U20-V20</f>
        <v>-5637.47619047619</v>
      </c>
      <c r="X20" s="8" t="n">
        <f aca="false">IF(G20=0,0,W20/G20)</f>
        <v>-0.153861249740071</v>
      </c>
      <c r="Y20" s="8" t="n">
        <f aca="false">IF(D20=0,0,E20/D20)</f>
        <v>0.842105263157895</v>
      </c>
      <c r="Z20" s="8" t="n">
        <f aca="false">IF(F20=0,0,N20/F20)</f>
        <v>0.0259710411399678</v>
      </c>
      <c r="AA20" s="8" t="n">
        <f aca="false">IF(G20=0,0,N20/G20)</f>
        <v>0.0308406113537118</v>
      </c>
      <c r="AB20" s="7" t="n">
        <f aca="false">IF(D20=0,0,I20*(D20-E20)/D20)+J20</f>
        <v>1140</v>
      </c>
      <c r="AC20" s="23" t="n">
        <f aca="false">IF(Q20=0,"",P20/Q20)</f>
        <v>185.333333333333</v>
      </c>
      <c r="AD20" s="7" t="n">
        <f aca="false">P20*O20</f>
        <v>123154</v>
      </c>
      <c r="AE20" s="24" t="n">
        <f aca="false">IF(Y20&lt;Допущения!$B$12,1,0)</f>
        <v>0</v>
      </c>
      <c r="AF20" s="24" t="n">
        <f aca="false">IF(AND(ISNUMBER(AC20),AC20&gt;Допущения!$B$13),1,0)</f>
        <v>1</v>
      </c>
    </row>
    <row r="21" customFormat="false" ht="15" hidden="false" customHeight="false" outlineLevel="0" collapsed="false">
      <c r="A21" s="6" t="s">
        <v>142</v>
      </c>
      <c r="B21" s="6" t="s">
        <v>143</v>
      </c>
      <c r="C21" s="6" t="s">
        <v>144</v>
      </c>
      <c r="D21" s="20" t="n">
        <v>406</v>
      </c>
      <c r="E21" s="20" t="n">
        <v>356</v>
      </c>
      <c r="F21" s="20" t="n">
        <v>564340</v>
      </c>
      <c r="G21" s="20" t="n">
        <v>494840</v>
      </c>
      <c r="H21" s="20" t="n">
        <v>128894</v>
      </c>
      <c r="I21" s="20" t="n">
        <v>38976</v>
      </c>
      <c r="J21" s="20" t="n">
        <v>4800</v>
      </c>
      <c r="K21" s="20" t="n">
        <v>3264</v>
      </c>
      <c r="L21" s="20" t="n">
        <v>1323</v>
      </c>
      <c r="M21" s="20" t="n">
        <v>0</v>
      </c>
      <c r="N21" s="20" t="n">
        <v>47546</v>
      </c>
      <c r="O21" s="21" t="n">
        <v>454</v>
      </c>
      <c r="P21" s="20" t="n">
        <v>130</v>
      </c>
      <c r="Q21" s="22" t="n">
        <v>32</v>
      </c>
      <c r="R21" s="20" t="n">
        <v>78216.81</v>
      </c>
      <c r="S21" s="7" t="n">
        <f aca="false">E21*O21</f>
        <v>161624</v>
      </c>
      <c r="T21" s="7" t="n">
        <f aca="false">G21-H21-I21-J21-K21-L21-M21</f>
        <v>317583</v>
      </c>
      <c r="U21" s="7" t="n">
        <f aca="false">G21*Допущения!$B$6/(1+Допущения!$B$6)</f>
        <v>23563.8095238095</v>
      </c>
      <c r="V21" s="7" t="n">
        <f aca="false">(G21-U21)*Допущения!$B$7</f>
        <v>28276.5714285714</v>
      </c>
      <c r="W21" s="7" t="n">
        <f aca="false">T21-N21-S21-U21-V21</f>
        <v>56572.619047619</v>
      </c>
      <c r="X21" s="8" t="n">
        <f aca="false">IF(G21=0,0,W21/G21)</f>
        <v>0.114325072847019</v>
      </c>
      <c r="Y21" s="8" t="n">
        <f aca="false">IF(D21=0,0,E21/D21)</f>
        <v>0.876847290640394</v>
      </c>
      <c r="Z21" s="8" t="n">
        <f aca="false">IF(F21=0,0,N21/F21)</f>
        <v>0.0842506290534075</v>
      </c>
      <c r="AA21" s="8" t="n">
        <f aca="false">IF(G21=0,0,N21/G21)</f>
        <v>0.0960835825721445</v>
      </c>
      <c r="AB21" s="7" t="n">
        <f aca="false">IF(D21=0,0,I21*(D21-E21)/D21)+J21</f>
        <v>9600</v>
      </c>
      <c r="AC21" s="23" t="n">
        <f aca="false">IF(Q21=0,"",P21/Q21)</f>
        <v>4.0625</v>
      </c>
      <c r="AD21" s="7" t="n">
        <f aca="false">P21*O21</f>
        <v>59020</v>
      </c>
      <c r="AE21" s="24" t="n">
        <f aca="false">IF(Y21&lt;Допущения!$B$12,1,0)</f>
        <v>0</v>
      </c>
      <c r="AF21" s="24" t="n">
        <f aca="false">IF(AND(ISNUMBER(AC21),AC21&gt;Допущения!$B$13),1,0)</f>
        <v>0</v>
      </c>
    </row>
    <row r="22" customFormat="false" ht="15" hidden="false" customHeight="false" outlineLevel="0" collapsed="false">
      <c r="A22" s="6" t="s">
        <v>145</v>
      </c>
      <c r="B22" s="6" t="s">
        <v>146</v>
      </c>
      <c r="C22" s="6" t="s">
        <v>144</v>
      </c>
      <c r="D22" s="20" t="n">
        <v>183</v>
      </c>
      <c r="E22" s="20" t="n">
        <v>161</v>
      </c>
      <c r="F22" s="20" t="n">
        <v>400770</v>
      </c>
      <c r="G22" s="20" t="n">
        <v>352590</v>
      </c>
      <c r="H22" s="20" t="n">
        <v>92264</v>
      </c>
      <c r="I22" s="20" t="n">
        <v>10614</v>
      </c>
      <c r="J22" s="20" t="n">
        <v>1276</v>
      </c>
      <c r="K22" s="20" t="n">
        <v>350</v>
      </c>
      <c r="L22" s="20" t="n">
        <v>198</v>
      </c>
      <c r="M22" s="20" t="n">
        <v>1322</v>
      </c>
      <c r="N22" s="20" t="n">
        <v>37201</v>
      </c>
      <c r="O22" s="21" t="n">
        <v>821</v>
      </c>
      <c r="P22" s="20" t="n">
        <v>111</v>
      </c>
      <c r="Q22" s="22" t="n">
        <v>15.5</v>
      </c>
      <c r="R22" s="20" t="n">
        <v>43337.29</v>
      </c>
      <c r="S22" s="7" t="n">
        <f aca="false">E22*O22</f>
        <v>132181</v>
      </c>
      <c r="T22" s="7" t="n">
        <f aca="false">G22-H22-I22-J22-K22-L22-M22</f>
        <v>246566</v>
      </c>
      <c r="U22" s="7" t="n">
        <f aca="false">G22*Допущения!$B$6/(1+Допущения!$B$6)</f>
        <v>16790</v>
      </c>
      <c r="V22" s="7" t="n">
        <f aca="false">(G22-U22)*Допущения!$B$7</f>
        <v>20148</v>
      </c>
      <c r="W22" s="7" t="n">
        <f aca="false">T22-N22-S22-U22-V22</f>
        <v>40246</v>
      </c>
      <c r="X22" s="8" t="n">
        <f aca="false">IF(G22=0,0,W22/G22)</f>
        <v>0.114143906520321</v>
      </c>
      <c r="Y22" s="8" t="n">
        <f aca="false">IF(D22=0,0,E22/D22)</f>
        <v>0.879781420765027</v>
      </c>
      <c r="Z22" s="8" t="n">
        <f aca="false">IF(F22=0,0,N22/F22)</f>
        <v>0.0928238141577463</v>
      </c>
      <c r="AA22" s="8" t="n">
        <f aca="false">IF(G22=0,0,N22/G22)</f>
        <v>0.105507813607873</v>
      </c>
      <c r="AB22" s="7" t="n">
        <f aca="false">IF(D22=0,0,I22*(D22-E22)/D22)+J22</f>
        <v>2552</v>
      </c>
      <c r="AC22" s="23" t="n">
        <f aca="false">IF(Q22=0,"",P22/Q22)</f>
        <v>7.16129032258065</v>
      </c>
      <c r="AD22" s="7" t="n">
        <f aca="false">P22*O22</f>
        <v>91131</v>
      </c>
      <c r="AE22" s="24" t="n">
        <f aca="false">IF(Y22&lt;Допущения!$B$12,1,0)</f>
        <v>0</v>
      </c>
      <c r="AF22" s="24" t="n">
        <f aca="false">IF(AND(ISNUMBER(AC22),AC22&gt;Допущения!$B$13),1,0)</f>
        <v>0</v>
      </c>
    </row>
    <row r="23" customFormat="false" ht="15" hidden="false" customHeight="false" outlineLevel="0" collapsed="false">
      <c r="A23" s="6" t="s">
        <v>147</v>
      </c>
      <c r="B23" s="6" t="s">
        <v>148</v>
      </c>
      <c r="C23" s="6" t="s">
        <v>144</v>
      </c>
      <c r="D23" s="20" t="n">
        <v>156</v>
      </c>
      <c r="E23" s="20" t="n">
        <v>138</v>
      </c>
      <c r="F23" s="20" t="n">
        <v>388440</v>
      </c>
      <c r="G23" s="20" t="n">
        <v>343620</v>
      </c>
      <c r="H23" s="20" t="n">
        <v>89862</v>
      </c>
      <c r="I23" s="20" t="n">
        <v>14976</v>
      </c>
      <c r="J23" s="20" t="n">
        <v>1728</v>
      </c>
      <c r="K23" s="20" t="n">
        <v>1196</v>
      </c>
      <c r="L23" s="20" t="n">
        <v>261</v>
      </c>
      <c r="M23" s="20" t="n">
        <v>1474</v>
      </c>
      <c r="N23" s="20" t="n">
        <v>32299</v>
      </c>
      <c r="O23" s="21" t="n">
        <v>1026</v>
      </c>
      <c r="P23" s="20" t="n">
        <v>40</v>
      </c>
      <c r="Q23" s="22" t="n">
        <v>13</v>
      </c>
      <c r="R23" s="20" t="n">
        <v>36723.43</v>
      </c>
      <c r="S23" s="7" t="n">
        <f aca="false">E23*O23</f>
        <v>141588</v>
      </c>
      <c r="T23" s="7" t="n">
        <f aca="false">G23-H23-I23-J23-K23-L23-M23</f>
        <v>234123</v>
      </c>
      <c r="U23" s="7" t="n">
        <f aca="false">G23*Допущения!$B$6/(1+Допущения!$B$6)</f>
        <v>16362.8571428571</v>
      </c>
      <c r="V23" s="7" t="n">
        <f aca="false">(G23-U23)*Допущения!$B$7</f>
        <v>19635.4285714286</v>
      </c>
      <c r="W23" s="7" t="n">
        <f aca="false">T23-N23-S23-U23-V23</f>
        <v>24237.7142857143</v>
      </c>
      <c r="X23" s="8" t="n">
        <f aca="false">IF(G23=0,0,W23/G23)</f>
        <v>0.0705363898658818</v>
      </c>
      <c r="Y23" s="8" t="n">
        <f aca="false">IF(D23=0,0,E23/D23)</f>
        <v>0.884615384615385</v>
      </c>
      <c r="Z23" s="8" t="n">
        <f aca="false">IF(F23=0,0,N23/F23)</f>
        <v>0.0831505509216353</v>
      </c>
      <c r="AA23" s="8" t="n">
        <f aca="false">IF(G23=0,0,N23/G23)</f>
        <v>0.093996274954892</v>
      </c>
      <c r="AB23" s="7" t="n">
        <f aca="false">IF(D23=0,0,I23*(D23-E23)/D23)+J23</f>
        <v>3456</v>
      </c>
      <c r="AC23" s="23" t="n">
        <f aca="false">IF(Q23=0,"",P23/Q23)</f>
        <v>3.07692307692308</v>
      </c>
      <c r="AD23" s="7" t="n">
        <f aca="false">P23*O23</f>
        <v>41040</v>
      </c>
      <c r="AE23" s="24" t="n">
        <f aca="false">IF(Y23&lt;Допущения!$B$12,1,0)</f>
        <v>0</v>
      </c>
      <c r="AF23" s="24" t="n">
        <f aca="false">IF(AND(ISNUMBER(AC23),AC23&gt;Допущения!$B$13),1,0)</f>
        <v>0</v>
      </c>
    </row>
    <row r="24" customFormat="false" ht="15" hidden="false" customHeight="false" outlineLevel="0" collapsed="false">
      <c r="A24" s="6" t="s">
        <v>149</v>
      </c>
      <c r="B24" s="6" t="s">
        <v>150</v>
      </c>
      <c r="C24" s="6" t="s">
        <v>144</v>
      </c>
      <c r="D24" s="20" t="n">
        <v>452</v>
      </c>
      <c r="E24" s="20" t="n">
        <v>412</v>
      </c>
      <c r="F24" s="20" t="n">
        <v>266680</v>
      </c>
      <c r="G24" s="20" t="n">
        <v>243080</v>
      </c>
      <c r="H24" s="20" t="n">
        <v>63400</v>
      </c>
      <c r="I24" s="20" t="n">
        <v>26216</v>
      </c>
      <c r="J24" s="20" t="n">
        <v>2320</v>
      </c>
      <c r="K24" s="20" t="n">
        <v>843</v>
      </c>
      <c r="L24" s="20" t="n">
        <v>494</v>
      </c>
      <c r="M24" s="20" t="n">
        <v>0</v>
      </c>
      <c r="N24" s="20" t="n">
        <v>14206</v>
      </c>
      <c r="O24" s="21" t="n">
        <v>173</v>
      </c>
      <c r="P24" s="20" t="n">
        <v>224</v>
      </c>
      <c r="Q24" s="22" t="n">
        <v>38</v>
      </c>
      <c r="R24" s="20" t="n">
        <v>46037.14</v>
      </c>
      <c r="S24" s="7" t="n">
        <f aca="false">E24*O24</f>
        <v>71276</v>
      </c>
      <c r="T24" s="7" t="n">
        <f aca="false">G24-H24-I24-J24-K24-L24-M24</f>
        <v>149807</v>
      </c>
      <c r="U24" s="7" t="n">
        <f aca="false">G24*Допущения!$B$6/(1+Допущения!$B$6)</f>
        <v>11575.2380952381</v>
      </c>
      <c r="V24" s="7" t="n">
        <f aca="false">(G24-U24)*Допущения!$B$7</f>
        <v>13890.2857142857</v>
      </c>
      <c r="W24" s="7" t="n">
        <f aca="false">T24-N24-S24-U24-V24</f>
        <v>38859.4761904762</v>
      </c>
      <c r="X24" s="8" t="n">
        <f aca="false">IF(G24=0,0,W24/G24)</f>
        <v>0.159862910113856</v>
      </c>
      <c r="Y24" s="8" t="n">
        <f aca="false">IF(D24=0,0,E24/D24)</f>
        <v>0.911504424778761</v>
      </c>
      <c r="Z24" s="8" t="n">
        <f aca="false">IF(F24=0,0,N24/F24)</f>
        <v>0.0532698365081746</v>
      </c>
      <c r="AA24" s="8" t="n">
        <f aca="false">IF(G24=0,0,N24/G24)</f>
        <v>0.058441665295376</v>
      </c>
      <c r="AB24" s="7" t="n">
        <f aca="false">IF(D24=0,0,I24*(D24-E24)/D24)+J24</f>
        <v>4640</v>
      </c>
      <c r="AC24" s="23" t="n">
        <f aca="false">IF(Q24=0,"",P24/Q24)</f>
        <v>5.89473684210526</v>
      </c>
      <c r="AD24" s="7" t="n">
        <f aca="false">P24*O24</f>
        <v>38752</v>
      </c>
      <c r="AE24" s="24" t="n">
        <f aca="false">IF(Y24&lt;Допущения!$B$12,1,0)</f>
        <v>0</v>
      </c>
      <c r="AF24" s="24" t="n">
        <f aca="false">IF(AND(ISNUMBER(AC24),AC24&gt;Допущения!$B$13),1,0)</f>
        <v>0</v>
      </c>
    </row>
    <row r="25" customFormat="false" ht="15" hidden="false" customHeight="false" outlineLevel="0" collapsed="false">
      <c r="A25" s="6" t="s">
        <v>151</v>
      </c>
      <c r="B25" s="6" t="s">
        <v>152</v>
      </c>
      <c r="C25" s="6" t="s">
        <v>144</v>
      </c>
      <c r="D25" s="20" t="n">
        <v>278</v>
      </c>
      <c r="E25" s="20" t="n">
        <v>249</v>
      </c>
      <c r="F25" s="20" t="n">
        <v>275220</v>
      </c>
      <c r="G25" s="20" t="n">
        <v>246510</v>
      </c>
      <c r="H25" s="20" t="n">
        <v>64221</v>
      </c>
      <c r="I25" s="20" t="n">
        <v>26688</v>
      </c>
      <c r="J25" s="20" t="n">
        <v>2784</v>
      </c>
      <c r="K25" s="20" t="n">
        <v>2117</v>
      </c>
      <c r="L25" s="20" t="n">
        <v>882</v>
      </c>
      <c r="M25" s="20" t="n">
        <v>1977</v>
      </c>
      <c r="N25" s="20" t="n">
        <v>18900</v>
      </c>
      <c r="O25" s="21" t="n">
        <v>356</v>
      </c>
      <c r="P25" s="20" t="n">
        <v>80</v>
      </c>
      <c r="Q25" s="22" t="n">
        <v>21.5</v>
      </c>
      <c r="R25" s="20" t="n">
        <v>21030.71</v>
      </c>
      <c r="S25" s="7" t="n">
        <f aca="false">E25*O25</f>
        <v>88644</v>
      </c>
      <c r="T25" s="7" t="n">
        <f aca="false">G25-H25-I25-J25-K25-L25-M25</f>
        <v>147841</v>
      </c>
      <c r="U25" s="7" t="n">
        <f aca="false">G25*Допущения!$B$6/(1+Допущения!$B$6)</f>
        <v>11738.5714285714</v>
      </c>
      <c r="V25" s="7" t="n">
        <f aca="false">(G25-U25)*Допущения!$B$7</f>
        <v>14086.2857142857</v>
      </c>
      <c r="W25" s="7" t="n">
        <f aca="false">T25-N25-S25-U25-V25</f>
        <v>14472.1428571429</v>
      </c>
      <c r="X25" s="8" t="n">
        <f aca="false">IF(G25=0,0,W25/G25)</f>
        <v>0.05870813702139</v>
      </c>
      <c r="Y25" s="8" t="n">
        <f aca="false">IF(D25=0,0,E25/D25)</f>
        <v>0.89568345323741</v>
      </c>
      <c r="Z25" s="8" t="n">
        <f aca="false">IF(F25=0,0,N25/F25)</f>
        <v>0.0686723348593852</v>
      </c>
      <c r="AA25" s="8" t="n">
        <f aca="false">IF(G25=0,0,N25/G25)</f>
        <v>0.0766703176341731</v>
      </c>
      <c r="AB25" s="7" t="n">
        <f aca="false">IF(D25=0,0,I25*(D25-E25)/D25)+J25</f>
        <v>5568</v>
      </c>
      <c r="AC25" s="23" t="n">
        <f aca="false">IF(Q25=0,"",P25/Q25)</f>
        <v>3.72093023255814</v>
      </c>
      <c r="AD25" s="7" t="n">
        <f aca="false">P25*O25</f>
        <v>28480</v>
      </c>
      <c r="AE25" s="24" t="n">
        <f aca="false">IF(Y25&lt;Допущения!$B$12,1,0)</f>
        <v>0</v>
      </c>
      <c r="AF25" s="24" t="n">
        <f aca="false">IF(AND(ISNUMBER(AC25),AC25&gt;Допущения!$B$13),1,0)</f>
        <v>0</v>
      </c>
    </row>
    <row r="26" customFormat="false" ht="15" hidden="false" customHeight="false" outlineLevel="0" collapsed="false">
      <c r="A26" s="6" t="s">
        <v>153</v>
      </c>
      <c r="B26" s="6" t="s">
        <v>154</v>
      </c>
      <c r="C26" s="6" t="s">
        <v>144</v>
      </c>
      <c r="D26" s="20" t="n">
        <v>396</v>
      </c>
      <c r="E26" s="20" t="n">
        <v>343</v>
      </c>
      <c r="F26" s="20" t="n">
        <v>352440</v>
      </c>
      <c r="G26" s="20" t="n">
        <v>305270</v>
      </c>
      <c r="H26" s="20" t="n">
        <v>79380</v>
      </c>
      <c r="I26" s="20" t="n">
        <v>22968</v>
      </c>
      <c r="J26" s="20" t="n">
        <v>3074</v>
      </c>
      <c r="K26" s="20" t="n">
        <v>779</v>
      </c>
      <c r="L26" s="20" t="n">
        <v>417</v>
      </c>
      <c r="M26" s="20" t="n">
        <v>2800</v>
      </c>
      <c r="N26" s="20" t="n">
        <v>28601</v>
      </c>
      <c r="O26" s="21" t="n">
        <v>302</v>
      </c>
      <c r="P26" s="20" t="n">
        <v>143</v>
      </c>
      <c r="Q26" s="22" t="n">
        <v>32</v>
      </c>
      <c r="R26" s="20" t="n">
        <v>38617.38</v>
      </c>
      <c r="S26" s="7" t="n">
        <f aca="false">E26*O26</f>
        <v>103586</v>
      </c>
      <c r="T26" s="7" t="n">
        <f aca="false">G26-H26-I26-J26-K26-L26-M26</f>
        <v>195852</v>
      </c>
      <c r="U26" s="7" t="n">
        <f aca="false">G26*Допущения!$B$6/(1+Допущения!$B$6)</f>
        <v>14536.6666666667</v>
      </c>
      <c r="V26" s="7" t="n">
        <f aca="false">(G26-U26)*Допущения!$B$7</f>
        <v>17444</v>
      </c>
      <c r="W26" s="7" t="n">
        <f aca="false">T26-N26-S26-U26-V26</f>
        <v>31684.3333333333</v>
      </c>
      <c r="X26" s="8" t="n">
        <f aca="false">IF(G26=0,0,W26/G26)</f>
        <v>0.103791179393106</v>
      </c>
      <c r="Y26" s="8" t="n">
        <f aca="false">IF(D26=0,0,E26/D26)</f>
        <v>0.866161616161616</v>
      </c>
      <c r="Z26" s="8" t="n">
        <f aca="false">IF(F26=0,0,N26/F26)</f>
        <v>0.0811514016570196</v>
      </c>
      <c r="AA26" s="8" t="n">
        <f aca="false">IF(G26=0,0,N26/G26)</f>
        <v>0.0936908310675795</v>
      </c>
      <c r="AB26" s="7" t="n">
        <f aca="false">IF(D26=0,0,I26*(D26-E26)/D26)+J26</f>
        <v>6148</v>
      </c>
      <c r="AC26" s="23" t="n">
        <f aca="false">IF(Q26=0,"",P26/Q26)</f>
        <v>4.46875</v>
      </c>
      <c r="AD26" s="7" t="n">
        <f aca="false">P26*O26</f>
        <v>43186</v>
      </c>
      <c r="AE26" s="24" t="n">
        <f aca="false">IF(Y26&lt;Допущения!$B$12,1,0)</f>
        <v>0</v>
      </c>
      <c r="AF26" s="24" t="n">
        <f aca="false">IF(AND(ISNUMBER(AC26),AC26&gt;Допущения!$B$13),1,0)</f>
        <v>0</v>
      </c>
    </row>
    <row r="27" customFormat="false" ht="15" hidden="false" customHeight="false" outlineLevel="0" collapsed="false">
      <c r="A27" s="6" t="s">
        <v>155</v>
      </c>
      <c r="B27" s="6" t="s">
        <v>156</v>
      </c>
      <c r="C27" s="6" t="s">
        <v>144</v>
      </c>
      <c r="D27" s="20" t="n">
        <v>186</v>
      </c>
      <c r="E27" s="20" t="n">
        <v>169</v>
      </c>
      <c r="F27" s="20" t="n">
        <v>314340</v>
      </c>
      <c r="G27" s="20" t="n">
        <v>285610</v>
      </c>
      <c r="H27" s="20" t="n">
        <v>74647</v>
      </c>
      <c r="I27" s="20" t="n">
        <v>35340</v>
      </c>
      <c r="J27" s="20" t="n">
        <v>3230</v>
      </c>
      <c r="K27" s="20" t="n">
        <v>4723</v>
      </c>
      <c r="L27" s="20" t="n">
        <v>1648</v>
      </c>
      <c r="M27" s="20" t="n">
        <v>1521</v>
      </c>
      <c r="N27" s="20" t="n">
        <v>20696</v>
      </c>
      <c r="O27" s="21" t="n">
        <v>626</v>
      </c>
      <c r="P27" s="20" t="n">
        <v>62</v>
      </c>
      <c r="Q27" s="22" t="n">
        <v>15.75</v>
      </c>
      <c r="R27" s="20" t="n">
        <v>15563.76</v>
      </c>
      <c r="S27" s="7" t="n">
        <f aca="false">E27*O27</f>
        <v>105794</v>
      </c>
      <c r="T27" s="7" t="n">
        <f aca="false">G27-H27-I27-J27-K27-L27-M27</f>
        <v>164501</v>
      </c>
      <c r="U27" s="7" t="n">
        <f aca="false">G27*Допущения!$B$6/(1+Допущения!$B$6)</f>
        <v>13600.4761904762</v>
      </c>
      <c r="V27" s="7" t="n">
        <f aca="false">(G27-U27)*Допущения!$B$7</f>
        <v>16320.5714285714</v>
      </c>
      <c r="W27" s="7" t="n">
        <f aca="false">T27-N27-S27-U27-V27</f>
        <v>8089.95238095238</v>
      </c>
      <c r="X27" s="8" t="n">
        <f aca="false">IF(G27=0,0,W27/G27)</f>
        <v>0.028325172021121</v>
      </c>
      <c r="Y27" s="8" t="n">
        <f aca="false">IF(D27=0,0,E27/D27)</f>
        <v>0.908602150537634</v>
      </c>
      <c r="Z27" s="8" t="n">
        <f aca="false">IF(F27=0,0,N27/F27)</f>
        <v>0.0658395368072788</v>
      </c>
      <c r="AA27" s="8" t="n">
        <f aca="false">IF(G27=0,0,N27/G27)</f>
        <v>0.0724624487938097</v>
      </c>
      <c r="AB27" s="7" t="n">
        <f aca="false">IF(D27=0,0,I27*(D27-E27)/D27)+J27</f>
        <v>6460</v>
      </c>
      <c r="AC27" s="23" t="n">
        <f aca="false">IF(Q27=0,"",P27/Q27)</f>
        <v>3.93650793650794</v>
      </c>
      <c r="AD27" s="7" t="n">
        <f aca="false">P27*O27</f>
        <v>38812</v>
      </c>
      <c r="AE27" s="24" t="n">
        <f aca="false">IF(Y27&lt;Допущения!$B$12,1,0)</f>
        <v>0</v>
      </c>
      <c r="AF27" s="24" t="n">
        <f aca="false">IF(AND(ISNUMBER(AC27),AC27&gt;Допущения!$B$13),1,0)</f>
        <v>0</v>
      </c>
    </row>
    <row r="28" customFormat="false" ht="15" hidden="false" customHeight="false" outlineLevel="0" collapsed="false">
      <c r="A28" s="6" t="s">
        <v>157</v>
      </c>
      <c r="B28" s="6" t="s">
        <v>158</v>
      </c>
      <c r="C28" s="6" t="s">
        <v>111</v>
      </c>
      <c r="D28" s="20" t="n">
        <v>193</v>
      </c>
      <c r="E28" s="20" t="n">
        <v>155</v>
      </c>
      <c r="F28" s="20" t="n">
        <v>229670</v>
      </c>
      <c r="G28" s="20" t="n">
        <v>184450</v>
      </c>
      <c r="H28" s="20" t="n">
        <v>51826</v>
      </c>
      <c r="I28" s="20" t="n">
        <v>18528</v>
      </c>
      <c r="J28" s="20" t="n">
        <v>3648</v>
      </c>
      <c r="K28" s="20" t="n">
        <v>1691</v>
      </c>
      <c r="L28" s="20" t="n">
        <v>369</v>
      </c>
      <c r="M28" s="20" t="n">
        <v>8029</v>
      </c>
      <c r="N28" s="20" t="n">
        <v>15237</v>
      </c>
      <c r="O28" s="21" t="n">
        <v>400</v>
      </c>
      <c r="P28" s="20" t="n">
        <v>67</v>
      </c>
      <c r="Q28" s="22" t="n">
        <v>16</v>
      </c>
      <c r="R28" s="20" t="n">
        <v>18738.67</v>
      </c>
      <c r="S28" s="7" t="n">
        <f aca="false">E28*O28</f>
        <v>62000</v>
      </c>
      <c r="T28" s="7" t="n">
        <f aca="false">G28-H28-I28-J28-K28-L28-M28</f>
        <v>100359</v>
      </c>
      <c r="U28" s="7" t="n">
        <f aca="false">G28*Допущения!$B$6/(1+Допущения!$B$6)</f>
        <v>8783.33333333333</v>
      </c>
      <c r="V28" s="7" t="n">
        <f aca="false">(G28-U28)*Допущения!$B$7</f>
        <v>10540</v>
      </c>
      <c r="W28" s="7" t="n">
        <f aca="false">T28-N28-S28-U28-V28</f>
        <v>3798.66666666667</v>
      </c>
      <c r="X28" s="8" t="n">
        <f aca="false">IF(G28=0,0,W28/G28)</f>
        <v>0.0205945604048071</v>
      </c>
      <c r="Y28" s="8" t="n">
        <f aca="false">IF(D28=0,0,E28/D28)</f>
        <v>0.803108808290155</v>
      </c>
      <c r="Z28" s="8" t="n">
        <f aca="false">IF(F28=0,0,N28/F28)</f>
        <v>0.0663430138894936</v>
      </c>
      <c r="AA28" s="8" t="n">
        <f aca="false">IF(G28=0,0,N28/G28)</f>
        <v>0.0826077527785308</v>
      </c>
      <c r="AB28" s="7" t="n">
        <f aca="false">IF(D28=0,0,I28*(D28-E28)/D28)+J28</f>
        <v>7296</v>
      </c>
      <c r="AC28" s="23" t="n">
        <f aca="false">IF(Q28=0,"",P28/Q28)</f>
        <v>4.1875</v>
      </c>
      <c r="AD28" s="7" t="n">
        <f aca="false">P28*O28</f>
        <v>26800</v>
      </c>
      <c r="AE28" s="24" t="n">
        <f aca="false">IF(Y28&lt;Допущения!$B$12,1,0)</f>
        <v>0</v>
      </c>
      <c r="AF28" s="24" t="n">
        <f aca="false">IF(AND(ISNUMBER(AC28),AC28&gt;Допущения!$B$13),1,0)</f>
        <v>0</v>
      </c>
    </row>
    <row r="29" customFormat="false" ht="15" hidden="false" customHeight="false" outlineLevel="0" collapsed="false">
      <c r="A29" s="6" t="s">
        <v>159</v>
      </c>
      <c r="B29" s="6" t="s">
        <v>160</v>
      </c>
      <c r="C29" s="6" t="s">
        <v>144</v>
      </c>
      <c r="D29" s="20" t="n">
        <v>263</v>
      </c>
      <c r="E29" s="20" t="n">
        <v>225</v>
      </c>
      <c r="F29" s="20" t="n">
        <v>128870</v>
      </c>
      <c r="G29" s="20" t="n">
        <v>110250</v>
      </c>
      <c r="H29" s="20" t="n">
        <v>28862</v>
      </c>
      <c r="I29" s="20" t="n">
        <v>15254</v>
      </c>
      <c r="J29" s="20" t="n">
        <v>2204</v>
      </c>
      <c r="K29" s="20" t="n">
        <v>550</v>
      </c>
      <c r="L29" s="20" t="n">
        <v>296</v>
      </c>
      <c r="M29" s="20" t="n">
        <v>4387</v>
      </c>
      <c r="N29" s="20" t="n">
        <v>6887</v>
      </c>
      <c r="O29" s="21" t="n">
        <v>140</v>
      </c>
      <c r="P29" s="20" t="n">
        <v>138</v>
      </c>
      <c r="Q29" s="22" t="n">
        <v>20.25</v>
      </c>
      <c r="R29" s="20" t="n">
        <v>17773.33</v>
      </c>
      <c r="S29" s="7" t="n">
        <f aca="false">E29*O29</f>
        <v>31500</v>
      </c>
      <c r="T29" s="7" t="n">
        <f aca="false">G29-H29-I29-J29-K29-L29-M29</f>
        <v>58697</v>
      </c>
      <c r="U29" s="7" t="n">
        <f aca="false">G29*Допущения!$B$6/(1+Допущения!$B$6)</f>
        <v>5250</v>
      </c>
      <c r="V29" s="7" t="n">
        <f aca="false">(G29-U29)*Допущения!$B$7</f>
        <v>6300</v>
      </c>
      <c r="W29" s="7" t="n">
        <f aca="false">T29-N29-S29-U29-V29</f>
        <v>8760</v>
      </c>
      <c r="X29" s="8" t="n">
        <f aca="false">IF(G29=0,0,W29/G29)</f>
        <v>0.0794557823129252</v>
      </c>
      <c r="Y29" s="8" t="n">
        <f aca="false">IF(D29=0,0,E29/D29)</f>
        <v>0.855513307984791</v>
      </c>
      <c r="Z29" s="8" t="n">
        <f aca="false">IF(F29=0,0,N29/F29)</f>
        <v>0.0534414526266781</v>
      </c>
      <c r="AA29" s="8" t="n">
        <f aca="false">IF(G29=0,0,N29/G29)</f>
        <v>0.0624671201814059</v>
      </c>
      <c r="AB29" s="7" t="n">
        <f aca="false">IF(D29=0,0,I29*(D29-E29)/D29)+J29</f>
        <v>4408</v>
      </c>
      <c r="AC29" s="23" t="n">
        <f aca="false">IF(Q29=0,"",P29/Q29)</f>
        <v>6.81481481481482</v>
      </c>
      <c r="AD29" s="7" t="n">
        <f aca="false">P29*O29</f>
        <v>19320</v>
      </c>
      <c r="AE29" s="24" t="n">
        <f aca="false">IF(Y29&lt;Допущения!$B$12,1,0)</f>
        <v>0</v>
      </c>
      <c r="AF29" s="24" t="n">
        <f aca="false">IF(AND(ISNUMBER(AC29),AC29&gt;Допущения!$B$13),1,0)</f>
        <v>0</v>
      </c>
    </row>
    <row r="30" customFormat="false" ht="15" hidden="false" customHeight="false" outlineLevel="0" collapsed="false">
      <c r="A30" s="6" t="s">
        <v>161</v>
      </c>
      <c r="B30" s="6" t="s">
        <v>162</v>
      </c>
      <c r="C30" s="6" t="s">
        <v>118</v>
      </c>
      <c r="D30" s="20" t="n">
        <v>10</v>
      </c>
      <c r="E30" s="20" t="n">
        <v>9</v>
      </c>
      <c r="F30" s="20" t="n">
        <v>34900</v>
      </c>
      <c r="G30" s="20" t="n">
        <v>31410</v>
      </c>
      <c r="H30" s="20" t="n">
        <v>8412</v>
      </c>
      <c r="I30" s="20" t="n">
        <v>1900</v>
      </c>
      <c r="J30" s="20" t="n">
        <v>190</v>
      </c>
      <c r="K30" s="20" t="n">
        <v>7373</v>
      </c>
      <c r="L30" s="20" t="n">
        <v>0</v>
      </c>
      <c r="M30" s="20" t="n">
        <v>0</v>
      </c>
      <c r="N30" s="20" t="n">
        <v>992</v>
      </c>
      <c r="O30" s="21" t="n">
        <v>1404</v>
      </c>
      <c r="P30" s="20" t="n">
        <v>103</v>
      </c>
      <c r="Q30" s="22" t="n">
        <v>0.75</v>
      </c>
      <c r="R30" s="20" t="n">
        <v>-3903.19</v>
      </c>
      <c r="S30" s="7" t="n">
        <f aca="false">E30*O30</f>
        <v>12636</v>
      </c>
      <c r="T30" s="7" t="n">
        <f aca="false">G30-H30-I30-J30-K30-L30-M30</f>
        <v>13535</v>
      </c>
      <c r="U30" s="7" t="n">
        <f aca="false">G30*Допущения!$B$6/(1+Допущения!$B$6)</f>
        <v>1495.71428571429</v>
      </c>
      <c r="V30" s="7" t="n">
        <f aca="false">(G30-U30)*Допущения!$B$7</f>
        <v>1794.85714285714</v>
      </c>
      <c r="W30" s="7" t="n">
        <f aca="false">T30-N30-S30-U30-V30</f>
        <v>-3383.57142857143</v>
      </c>
      <c r="X30" s="8" t="n">
        <f aca="false">IF(G30=0,0,W30/G30)</f>
        <v>-0.107722745258562</v>
      </c>
      <c r="Y30" s="8" t="n">
        <f aca="false">IF(D30=0,0,E30/D30)</f>
        <v>0.9</v>
      </c>
      <c r="Z30" s="8" t="n">
        <f aca="false">IF(F30=0,0,N30/F30)</f>
        <v>0.0284240687679083</v>
      </c>
      <c r="AA30" s="8" t="n">
        <f aca="false">IF(G30=0,0,N30/G30)</f>
        <v>0.0315822986310092</v>
      </c>
      <c r="AB30" s="7" t="n">
        <f aca="false">IF(D30=0,0,I30*(D30-E30)/D30)+J30</f>
        <v>380</v>
      </c>
      <c r="AC30" s="23" t="n">
        <f aca="false">IF(Q30=0,"",P30/Q30)</f>
        <v>137.333333333333</v>
      </c>
      <c r="AD30" s="7" t="n">
        <f aca="false">P30*O30</f>
        <v>144612</v>
      </c>
      <c r="AE30" s="24" t="n">
        <f aca="false">IF(Y30&lt;Допущения!$B$12,1,0)</f>
        <v>0</v>
      </c>
      <c r="AF30" s="24" t="n">
        <f aca="false">IF(AND(ISNUMBER(AC30),AC30&gt;Допущения!$B$13),1,0)</f>
        <v>1</v>
      </c>
    </row>
    <row r="31" customFormat="false" ht="15" hidden="false" customHeight="false" outlineLevel="0" collapsed="false">
      <c r="A31" s="6" t="s">
        <v>163</v>
      </c>
      <c r="B31" s="6" t="s">
        <v>164</v>
      </c>
      <c r="C31" s="6" t="s">
        <v>118</v>
      </c>
      <c r="D31" s="20" t="n">
        <v>357</v>
      </c>
      <c r="E31" s="20" t="n">
        <v>334</v>
      </c>
      <c r="F31" s="20" t="n">
        <v>246330</v>
      </c>
      <c r="G31" s="20" t="n">
        <v>230460</v>
      </c>
      <c r="H31" s="20" t="n">
        <v>62246</v>
      </c>
      <c r="I31" s="20" t="n">
        <v>20706</v>
      </c>
      <c r="J31" s="20" t="n">
        <v>1334</v>
      </c>
      <c r="K31" s="20" t="n">
        <v>714</v>
      </c>
      <c r="L31" s="20" t="n">
        <v>220</v>
      </c>
      <c r="M31" s="20" t="n">
        <v>2358</v>
      </c>
      <c r="N31" s="20" t="n">
        <v>16656</v>
      </c>
      <c r="O31" s="21" t="n">
        <v>194</v>
      </c>
      <c r="P31" s="20" t="n">
        <v>43</v>
      </c>
      <c r="Q31" s="22" t="n">
        <v>27.75</v>
      </c>
      <c r="R31" s="20" t="n">
        <v>50293.86</v>
      </c>
      <c r="S31" s="7" t="n">
        <f aca="false">E31*O31</f>
        <v>64796</v>
      </c>
      <c r="T31" s="7" t="n">
        <f aca="false">G31-H31-I31-J31-K31-L31-M31</f>
        <v>142882</v>
      </c>
      <c r="U31" s="7" t="n">
        <f aca="false">G31*Допущения!$B$6/(1+Допущения!$B$6)</f>
        <v>10974.2857142857</v>
      </c>
      <c r="V31" s="7" t="n">
        <f aca="false">(G31-U31)*Допущения!$B$7</f>
        <v>13169.1428571429</v>
      </c>
      <c r="W31" s="7" t="n">
        <f aca="false">T31-N31-S31-U31-V31</f>
        <v>37286.5714285714</v>
      </c>
      <c r="X31" s="8" t="n">
        <f aca="false">IF(G31=0,0,W31/G31)</f>
        <v>0.161791944062186</v>
      </c>
      <c r="Y31" s="8" t="n">
        <f aca="false">IF(D31=0,0,E31/D31)</f>
        <v>0.935574229691877</v>
      </c>
      <c r="Z31" s="8" t="n">
        <f aca="false">IF(F31=0,0,N31/F31)</f>
        <v>0.0676166118621362</v>
      </c>
      <c r="AA31" s="8" t="n">
        <f aca="false">IF(G31=0,0,N31/G31)</f>
        <v>0.0722728456131216</v>
      </c>
      <c r="AB31" s="7" t="n">
        <f aca="false">IF(D31=0,0,I31*(D31-E31)/D31)+J31</f>
        <v>2668</v>
      </c>
      <c r="AC31" s="23" t="n">
        <f aca="false">IF(Q31=0,"",P31/Q31)</f>
        <v>1.54954954954955</v>
      </c>
      <c r="AD31" s="7" t="n">
        <f aca="false">P31*O31</f>
        <v>8342</v>
      </c>
      <c r="AE31" s="24" t="n">
        <f aca="false">IF(Y31&lt;Допущения!$B$12,1,0)</f>
        <v>0</v>
      </c>
      <c r="AF31" s="24" t="n">
        <f aca="false">IF(AND(ISNUMBER(AC31),AC31&gt;Допущения!$B$13),1,0)</f>
        <v>0</v>
      </c>
    </row>
    <row r="32" customFormat="false" ht="15" hidden="false" customHeight="false" outlineLevel="0" collapsed="false">
      <c r="A32" s="6" t="s">
        <v>165</v>
      </c>
      <c r="B32" s="6" t="s">
        <v>166</v>
      </c>
      <c r="C32" s="6" t="s">
        <v>118</v>
      </c>
      <c r="D32" s="20" t="n">
        <v>181</v>
      </c>
      <c r="E32" s="20" t="n">
        <v>165</v>
      </c>
      <c r="F32" s="20" t="n">
        <v>197290</v>
      </c>
      <c r="G32" s="20" t="n">
        <v>179850</v>
      </c>
      <c r="H32" s="20" t="n">
        <v>48830</v>
      </c>
      <c r="I32" s="20" t="n">
        <v>17376</v>
      </c>
      <c r="J32" s="20" t="n">
        <v>1536</v>
      </c>
      <c r="K32" s="20" t="n">
        <v>1530</v>
      </c>
      <c r="L32" s="20" t="n">
        <v>669</v>
      </c>
      <c r="M32" s="20" t="n">
        <v>1999</v>
      </c>
      <c r="N32" s="20" t="n">
        <v>13460</v>
      </c>
      <c r="O32" s="21" t="n">
        <v>367</v>
      </c>
      <c r="P32" s="20" t="n">
        <v>114</v>
      </c>
      <c r="Q32" s="22" t="n">
        <v>14.75</v>
      </c>
      <c r="R32" s="20" t="n">
        <v>22107.86</v>
      </c>
      <c r="S32" s="7" t="n">
        <f aca="false">E32*O32</f>
        <v>60555</v>
      </c>
      <c r="T32" s="7" t="n">
        <f aca="false">G32-H32-I32-J32-K32-L32-M32</f>
        <v>107910</v>
      </c>
      <c r="U32" s="7" t="n">
        <f aca="false">G32*Допущения!$B$6/(1+Допущения!$B$6)</f>
        <v>8564.28571428571</v>
      </c>
      <c r="V32" s="7" t="n">
        <f aca="false">(G32-U32)*Допущения!$B$7</f>
        <v>10277.1428571429</v>
      </c>
      <c r="W32" s="7" t="n">
        <f aca="false">T32-N32-S32-U32-V32</f>
        <v>15053.5714285714</v>
      </c>
      <c r="X32" s="8" t="n">
        <f aca="false">IF(G32=0,0,W32/G32)</f>
        <v>0.083700702966758</v>
      </c>
      <c r="Y32" s="8" t="n">
        <f aca="false">IF(D32=0,0,E32/D32)</f>
        <v>0.911602209944751</v>
      </c>
      <c r="Z32" s="8" t="n">
        <f aca="false">IF(F32=0,0,N32/F32)</f>
        <v>0.0682244411779614</v>
      </c>
      <c r="AA32" s="8" t="n">
        <f aca="false">IF(G32=0,0,N32/G32)</f>
        <v>0.0748401445649152</v>
      </c>
      <c r="AB32" s="7" t="n">
        <f aca="false">IF(D32=0,0,I32*(D32-E32)/D32)+J32</f>
        <v>3072</v>
      </c>
      <c r="AC32" s="23" t="n">
        <f aca="false">IF(Q32=0,"",P32/Q32)</f>
        <v>7.72881355932203</v>
      </c>
      <c r="AD32" s="7" t="n">
        <f aca="false">P32*O32</f>
        <v>41838</v>
      </c>
      <c r="AE32" s="24" t="n">
        <f aca="false">IF(Y32&lt;Допущения!$B$12,1,0)</f>
        <v>0</v>
      </c>
      <c r="AF32" s="24" t="n">
        <f aca="false">IF(AND(ISNUMBER(AC32),AC32&gt;Допущения!$B$13),1,0)</f>
        <v>0</v>
      </c>
    </row>
    <row r="33" customFormat="false" ht="15" hidden="false" customHeight="false" outlineLevel="0" collapsed="false">
      <c r="A33" s="6" t="s">
        <v>167</v>
      </c>
      <c r="B33" s="6" t="s">
        <v>168</v>
      </c>
      <c r="C33" s="6" t="s">
        <v>118</v>
      </c>
      <c r="D33" s="20" t="n">
        <v>118</v>
      </c>
      <c r="E33" s="20" t="n">
        <v>100</v>
      </c>
      <c r="F33" s="20" t="n">
        <v>223020</v>
      </c>
      <c r="G33" s="20" t="n">
        <v>189000</v>
      </c>
      <c r="H33" s="20" t="n">
        <v>50652</v>
      </c>
      <c r="I33" s="20" t="n">
        <v>11328</v>
      </c>
      <c r="J33" s="20" t="n">
        <v>1728</v>
      </c>
      <c r="K33" s="20" t="n">
        <v>876</v>
      </c>
      <c r="L33" s="20" t="n">
        <v>219</v>
      </c>
      <c r="M33" s="20" t="n">
        <v>930</v>
      </c>
      <c r="N33" s="20" t="n">
        <v>18040</v>
      </c>
      <c r="O33" s="21" t="n">
        <v>691</v>
      </c>
      <c r="P33" s="20" t="n">
        <v>20</v>
      </c>
      <c r="Q33" s="22" t="n">
        <v>8.75</v>
      </c>
      <c r="R33" s="20" t="n">
        <v>19427</v>
      </c>
      <c r="S33" s="7" t="n">
        <f aca="false">E33*O33</f>
        <v>69100</v>
      </c>
      <c r="T33" s="7" t="n">
        <f aca="false">G33-H33-I33-J33-K33-L33-M33</f>
        <v>123267</v>
      </c>
      <c r="U33" s="7" t="n">
        <f aca="false">G33*Допущения!$B$6/(1+Допущения!$B$6)</f>
        <v>9000</v>
      </c>
      <c r="V33" s="7" t="n">
        <f aca="false">(G33-U33)*Допущения!$B$7</f>
        <v>10800</v>
      </c>
      <c r="W33" s="7" t="n">
        <f aca="false">T33-N33-S33-U33-V33</f>
        <v>16327</v>
      </c>
      <c r="X33" s="8" t="n">
        <f aca="false">IF(G33=0,0,W33/G33)</f>
        <v>0.0863862433862434</v>
      </c>
      <c r="Y33" s="8" t="n">
        <f aca="false">IF(D33=0,0,E33/D33)</f>
        <v>0.847457627118644</v>
      </c>
      <c r="Z33" s="8" t="n">
        <f aca="false">IF(F33=0,0,N33/F33)</f>
        <v>0.0808896063133351</v>
      </c>
      <c r="AA33" s="8" t="n">
        <f aca="false">IF(G33=0,0,N33/G33)</f>
        <v>0.0954497354497355</v>
      </c>
      <c r="AB33" s="7" t="n">
        <f aca="false">IF(D33=0,0,I33*(D33-E33)/D33)+J33</f>
        <v>3456</v>
      </c>
      <c r="AC33" s="23" t="n">
        <f aca="false">IF(Q33=0,"",P33/Q33)</f>
        <v>2.28571428571429</v>
      </c>
      <c r="AD33" s="7" t="n">
        <f aca="false">P33*O33</f>
        <v>13820</v>
      </c>
      <c r="AE33" s="24" t="n">
        <f aca="false">IF(Y33&lt;Допущения!$B$12,1,0)</f>
        <v>0</v>
      </c>
      <c r="AF33" s="24" t="n">
        <f aca="false">IF(AND(ISNUMBER(AC33),AC33&gt;Допущения!$B$13),1,0)</f>
        <v>0</v>
      </c>
    </row>
    <row r="34" customFormat="false" ht="15" hidden="false" customHeight="false" outlineLevel="0" collapsed="false">
      <c r="A34" s="6" t="s">
        <v>169</v>
      </c>
      <c r="B34" s="6" t="s">
        <v>170</v>
      </c>
      <c r="C34" s="6" t="s">
        <v>118</v>
      </c>
      <c r="D34" s="20" t="n">
        <v>233</v>
      </c>
      <c r="E34" s="20" t="n">
        <v>198</v>
      </c>
      <c r="F34" s="20" t="n">
        <v>184070</v>
      </c>
      <c r="G34" s="20" t="n">
        <v>156420</v>
      </c>
      <c r="H34" s="20" t="n">
        <v>42281</v>
      </c>
      <c r="I34" s="20" t="n">
        <v>22368</v>
      </c>
      <c r="J34" s="20" t="n">
        <v>3360</v>
      </c>
      <c r="K34" s="20" t="n">
        <v>1873</v>
      </c>
      <c r="L34" s="20" t="n">
        <v>441</v>
      </c>
      <c r="M34" s="20" t="n">
        <v>0</v>
      </c>
      <c r="N34" s="20" t="n">
        <v>12531</v>
      </c>
      <c r="O34" s="21" t="n">
        <v>248</v>
      </c>
      <c r="P34" s="20" t="n">
        <v>39</v>
      </c>
      <c r="Q34" s="22" t="n">
        <v>18.5</v>
      </c>
      <c r="R34" s="20" t="n">
        <v>16346.1</v>
      </c>
      <c r="S34" s="7" t="n">
        <f aca="false">E34*O34</f>
        <v>49104</v>
      </c>
      <c r="T34" s="7" t="n">
        <f aca="false">G34-H34-I34-J34-K34-L34-M34</f>
        <v>86097</v>
      </c>
      <c r="U34" s="7" t="n">
        <f aca="false">G34*Допущения!$B$6/(1+Допущения!$B$6)</f>
        <v>7448.57142857143</v>
      </c>
      <c r="V34" s="7" t="n">
        <f aca="false">(G34-U34)*Допущения!$B$7</f>
        <v>8938.28571428571</v>
      </c>
      <c r="W34" s="7" t="n">
        <f aca="false">T34-N34-S34-U34-V34</f>
        <v>8075.14285714286</v>
      </c>
      <c r="X34" s="8" t="n">
        <f aca="false">IF(G34=0,0,W34/G34)</f>
        <v>0.0516247465614554</v>
      </c>
      <c r="Y34" s="8" t="n">
        <f aca="false">IF(D34=0,0,E34/D34)</f>
        <v>0.849785407725322</v>
      </c>
      <c r="Z34" s="8" t="n">
        <f aca="false">IF(F34=0,0,N34/F34)</f>
        <v>0.0680773618732004</v>
      </c>
      <c r="AA34" s="8" t="n">
        <f aca="false">IF(G34=0,0,N34/G34)</f>
        <v>0.0801112389719985</v>
      </c>
      <c r="AB34" s="7" t="n">
        <f aca="false">IF(D34=0,0,I34*(D34-E34)/D34)+J34</f>
        <v>6720</v>
      </c>
      <c r="AC34" s="23" t="n">
        <f aca="false">IF(Q34=0,"",P34/Q34)</f>
        <v>2.10810810810811</v>
      </c>
      <c r="AD34" s="7" t="n">
        <f aca="false">P34*O34</f>
        <v>9672</v>
      </c>
      <c r="AE34" s="24" t="n">
        <f aca="false">IF(Y34&lt;Допущения!$B$12,1,0)</f>
        <v>0</v>
      </c>
      <c r="AF34" s="24" t="n">
        <f aca="false">IF(AND(ISNUMBER(AC34),AC34&gt;Допущения!$B$13),1,0)</f>
        <v>0</v>
      </c>
    </row>
    <row r="35" customFormat="false" ht="15" hidden="false" customHeight="false" outlineLevel="0" collapsed="false">
      <c r="A35" s="6" t="s">
        <v>171</v>
      </c>
      <c r="B35" s="6" t="s">
        <v>172</v>
      </c>
      <c r="C35" s="6" t="s">
        <v>111</v>
      </c>
      <c r="D35" s="20" t="n">
        <v>221</v>
      </c>
      <c r="E35" s="20" t="n">
        <v>180</v>
      </c>
      <c r="F35" s="20" t="n">
        <v>307190</v>
      </c>
      <c r="G35" s="20" t="n">
        <v>250200</v>
      </c>
      <c r="H35" s="20" t="n">
        <v>69918</v>
      </c>
      <c r="I35" s="20" t="n">
        <v>21216</v>
      </c>
      <c r="J35" s="20" t="n">
        <v>3936</v>
      </c>
      <c r="K35" s="20" t="n">
        <v>1764</v>
      </c>
      <c r="L35" s="20" t="n">
        <v>405</v>
      </c>
      <c r="M35" s="20" t="n">
        <v>2670</v>
      </c>
      <c r="N35" s="20" t="n">
        <v>24219</v>
      </c>
      <c r="O35" s="21" t="n">
        <v>486</v>
      </c>
      <c r="P35" s="20" t="n">
        <v>42</v>
      </c>
      <c r="Q35" s="22" t="n">
        <v>17.75</v>
      </c>
      <c r="R35" s="20" t="n">
        <v>18344.9</v>
      </c>
      <c r="S35" s="7" t="n">
        <f aca="false">E35*O35</f>
        <v>87480</v>
      </c>
      <c r="T35" s="7" t="n">
        <f aca="false">G35-H35-I35-J35-K35-L35-M35</f>
        <v>150291</v>
      </c>
      <c r="U35" s="7" t="n">
        <f aca="false">G35*Допущения!$B$6/(1+Допущения!$B$6)</f>
        <v>11914.2857142857</v>
      </c>
      <c r="V35" s="7" t="n">
        <f aca="false">(G35-U35)*Допущения!$B$7</f>
        <v>14297.1428571429</v>
      </c>
      <c r="W35" s="7" t="n">
        <f aca="false">T35-N35-S35-U35-V35</f>
        <v>12380.5714285714</v>
      </c>
      <c r="X35" s="8" t="n">
        <f aca="false">IF(G35=0,0,W35/G35)</f>
        <v>0.049482699554642</v>
      </c>
      <c r="Y35" s="8" t="n">
        <f aca="false">IF(D35=0,0,E35/D35)</f>
        <v>0.81447963800905</v>
      </c>
      <c r="Z35" s="8" t="n">
        <f aca="false">IF(F35=0,0,N35/F35)</f>
        <v>0.0788404570461278</v>
      </c>
      <c r="AA35" s="8" t="n">
        <f aca="false">IF(G35=0,0,N35/G35)</f>
        <v>0.0967985611510791</v>
      </c>
      <c r="AB35" s="7" t="n">
        <f aca="false">IF(D35=0,0,I35*(D35-E35)/D35)+J35</f>
        <v>7872</v>
      </c>
      <c r="AC35" s="23" t="n">
        <f aca="false">IF(Q35=0,"",P35/Q35)</f>
        <v>2.36619718309859</v>
      </c>
      <c r="AD35" s="7" t="n">
        <f aca="false">P35*O35</f>
        <v>20412</v>
      </c>
      <c r="AE35" s="24" t="n">
        <f aca="false">IF(Y35&lt;Допущения!$B$12,1,0)</f>
        <v>0</v>
      </c>
      <c r="AF35" s="24" t="n">
        <f aca="false">IF(AND(ISNUMBER(AC35),AC35&gt;Допущения!$B$13),1,0)</f>
        <v>0</v>
      </c>
    </row>
    <row r="36" customFormat="false" ht="15" hidden="false" customHeight="false" outlineLevel="0" collapsed="false">
      <c r="A36" s="6" t="s">
        <v>173</v>
      </c>
      <c r="B36" s="6" t="s">
        <v>174</v>
      </c>
      <c r="C36" s="6" t="s">
        <v>111</v>
      </c>
      <c r="D36" s="20" t="n">
        <v>366</v>
      </c>
      <c r="E36" s="20" t="n">
        <v>301</v>
      </c>
      <c r="F36" s="20" t="n">
        <v>398940</v>
      </c>
      <c r="G36" s="20" t="n">
        <v>328090</v>
      </c>
      <c r="H36" s="20" t="n">
        <v>92161</v>
      </c>
      <c r="I36" s="20" t="n">
        <v>35136</v>
      </c>
      <c r="J36" s="20" t="n">
        <v>6240</v>
      </c>
      <c r="K36" s="20" t="n">
        <v>3077</v>
      </c>
      <c r="L36" s="20" t="n">
        <v>663</v>
      </c>
      <c r="M36" s="20" t="n">
        <v>0</v>
      </c>
      <c r="N36" s="20" t="n">
        <v>26349</v>
      </c>
      <c r="O36" s="21" t="n">
        <v>378</v>
      </c>
      <c r="P36" s="20" t="n">
        <v>94</v>
      </c>
      <c r="Q36" s="22" t="n">
        <v>31</v>
      </c>
      <c r="R36" s="20" t="n">
        <v>29388.81</v>
      </c>
      <c r="S36" s="7" t="n">
        <f aca="false">E36*O36</f>
        <v>113778</v>
      </c>
      <c r="T36" s="7" t="n">
        <f aca="false">G36-H36-I36-J36-K36-L36-M36</f>
        <v>190813</v>
      </c>
      <c r="U36" s="7" t="n">
        <f aca="false">G36*Допущения!$B$6/(1+Допущения!$B$6)</f>
        <v>15623.3333333333</v>
      </c>
      <c r="V36" s="7" t="n">
        <f aca="false">(G36-U36)*Допущения!$B$7</f>
        <v>18748</v>
      </c>
      <c r="W36" s="7" t="n">
        <f aca="false">T36-N36-S36-U36-V36</f>
        <v>16314.6666666667</v>
      </c>
      <c r="X36" s="8" t="n">
        <f aca="false">IF(G36=0,0,W36/G36)</f>
        <v>0.049726193016144</v>
      </c>
      <c r="Y36" s="8" t="n">
        <f aca="false">IF(D36=0,0,E36/D36)</f>
        <v>0.8224043715847</v>
      </c>
      <c r="Z36" s="8" t="n">
        <f aca="false">IF(F36=0,0,N36/F36)</f>
        <v>0.0660475259437509</v>
      </c>
      <c r="AA36" s="8" t="n">
        <f aca="false">IF(G36=0,0,N36/G36)</f>
        <v>0.0803102807156573</v>
      </c>
      <c r="AB36" s="7" t="n">
        <f aca="false">IF(D36=0,0,I36*(D36-E36)/D36)+J36</f>
        <v>12480</v>
      </c>
      <c r="AC36" s="23" t="n">
        <f aca="false">IF(Q36=0,"",P36/Q36)</f>
        <v>3.03225806451613</v>
      </c>
      <c r="AD36" s="7" t="n">
        <f aca="false">P36*O36</f>
        <v>35532</v>
      </c>
      <c r="AE36" s="24" t="n">
        <f aca="false">IF(Y36&lt;Допущения!$B$12,1,0)</f>
        <v>0</v>
      </c>
      <c r="AF36" s="24" t="n">
        <f aca="false">IF(AND(ISNUMBER(AC36),AC36&gt;Допущения!$B$13),1,0)</f>
        <v>0</v>
      </c>
    </row>
    <row r="37" customFormat="false" ht="15" hidden="false" customHeight="false" outlineLevel="0" collapsed="false">
      <c r="A37" s="6" t="s">
        <v>175</v>
      </c>
      <c r="B37" s="6" t="s">
        <v>176</v>
      </c>
      <c r="C37" s="6" t="s">
        <v>111</v>
      </c>
      <c r="D37" s="20" t="n">
        <v>185</v>
      </c>
      <c r="E37" s="20" t="n">
        <v>142</v>
      </c>
      <c r="F37" s="20" t="n">
        <v>331150</v>
      </c>
      <c r="G37" s="20" t="n">
        <v>254180</v>
      </c>
      <c r="H37" s="20" t="n">
        <v>71154</v>
      </c>
      <c r="I37" s="20" t="n">
        <v>17760</v>
      </c>
      <c r="J37" s="20" t="n">
        <v>4128</v>
      </c>
      <c r="K37" s="20" t="n">
        <v>1690</v>
      </c>
      <c r="L37" s="20" t="n">
        <v>366</v>
      </c>
      <c r="M37" s="20" t="n">
        <v>0</v>
      </c>
      <c r="N37" s="20" t="n">
        <v>26831</v>
      </c>
      <c r="O37" s="21" t="n">
        <v>670</v>
      </c>
      <c r="P37" s="20" t="n">
        <v>52</v>
      </c>
      <c r="Q37" s="22" t="n">
        <v>15</v>
      </c>
      <c r="R37" s="20" t="n">
        <v>26009.62</v>
      </c>
      <c r="S37" s="7" t="n">
        <f aca="false">E37*O37</f>
        <v>95140</v>
      </c>
      <c r="T37" s="7" t="n">
        <f aca="false">G37-H37-I37-J37-K37-L37-M37</f>
        <v>159082</v>
      </c>
      <c r="U37" s="7" t="n">
        <f aca="false">G37*Допущения!$B$6/(1+Допущения!$B$6)</f>
        <v>12103.8095238095</v>
      </c>
      <c r="V37" s="7" t="n">
        <f aca="false">(G37-U37)*Допущения!$B$7</f>
        <v>14524.5714285714</v>
      </c>
      <c r="W37" s="7" t="n">
        <f aca="false">T37-N37-S37-U37-V37</f>
        <v>10482.6190476191</v>
      </c>
      <c r="X37" s="8" t="n">
        <f aca="false">IF(G37=0,0,W37/G37)</f>
        <v>0.0412409278763831</v>
      </c>
      <c r="Y37" s="8" t="n">
        <f aca="false">IF(D37=0,0,E37/D37)</f>
        <v>0.767567567567568</v>
      </c>
      <c r="Z37" s="8" t="n">
        <f aca="false">IF(F37=0,0,N37/F37)</f>
        <v>0.0810237052695153</v>
      </c>
      <c r="AA37" s="8" t="n">
        <f aca="false">IF(G37=0,0,N37/G37)</f>
        <v>0.105559052639862</v>
      </c>
      <c r="AB37" s="7" t="n">
        <f aca="false">IF(D37=0,0,I37*(D37-E37)/D37)+J37</f>
        <v>8256</v>
      </c>
      <c r="AC37" s="23" t="n">
        <f aca="false">IF(Q37=0,"",P37/Q37)</f>
        <v>3.46666666666667</v>
      </c>
      <c r="AD37" s="7" t="n">
        <f aca="false">P37*O37</f>
        <v>34840</v>
      </c>
      <c r="AE37" s="24" t="n">
        <f aca="false">IF(Y37&lt;Допущения!$B$12,1,0)</f>
        <v>0</v>
      </c>
      <c r="AF37" s="24" t="n">
        <f aca="false">IF(AND(ISNUMBER(AC37),AC37&gt;Допущения!$B$13),1,0)</f>
        <v>0</v>
      </c>
    </row>
    <row r="38" customFormat="false" ht="15" hidden="false" customHeight="false" outlineLevel="0" collapsed="false">
      <c r="A38" s="6" t="s">
        <v>177</v>
      </c>
      <c r="B38" s="6" t="s">
        <v>178</v>
      </c>
      <c r="C38" s="6" t="s">
        <v>111</v>
      </c>
      <c r="D38" s="20" t="n">
        <v>143</v>
      </c>
      <c r="E38" s="20" t="n">
        <v>110</v>
      </c>
      <c r="F38" s="20" t="n">
        <v>341770</v>
      </c>
      <c r="G38" s="20" t="n">
        <v>262900</v>
      </c>
      <c r="H38" s="20" t="n">
        <v>74451</v>
      </c>
      <c r="I38" s="20" t="n">
        <v>27170</v>
      </c>
      <c r="J38" s="20" t="n">
        <v>6270</v>
      </c>
      <c r="K38" s="20" t="n">
        <v>4257</v>
      </c>
      <c r="L38" s="20" t="n">
        <v>744</v>
      </c>
      <c r="M38" s="20" t="n">
        <v>1656</v>
      </c>
      <c r="N38" s="20" t="n">
        <v>27348</v>
      </c>
      <c r="O38" s="21" t="n">
        <v>950</v>
      </c>
      <c r="P38" s="20" t="n">
        <v>50</v>
      </c>
      <c r="Q38" s="22" t="n">
        <v>11.25</v>
      </c>
      <c r="R38" s="20" t="n">
        <v>-271.19</v>
      </c>
      <c r="S38" s="7" t="n">
        <f aca="false">E38*O38</f>
        <v>104500</v>
      </c>
      <c r="T38" s="7" t="n">
        <f aca="false">G38-H38-I38-J38-K38-L38-M38</f>
        <v>148352</v>
      </c>
      <c r="U38" s="7" t="n">
        <f aca="false">G38*Допущения!$B$6/(1+Допущения!$B$6)</f>
        <v>12519.0476190476</v>
      </c>
      <c r="V38" s="7" t="n">
        <f aca="false">(G38-U38)*Допущения!$B$7</f>
        <v>15022.8571428571</v>
      </c>
      <c r="W38" s="7" t="n">
        <f aca="false">T38-N38-S38-U38-V38</f>
        <v>-11037.9047619048</v>
      </c>
      <c r="X38" s="8" t="n">
        <f aca="false">IF(G38=0,0,W38/G38)</f>
        <v>-0.0419851835751417</v>
      </c>
      <c r="Y38" s="8" t="n">
        <f aca="false">IF(D38=0,0,E38/D38)</f>
        <v>0.769230769230769</v>
      </c>
      <c r="Z38" s="8" t="n">
        <f aca="false">IF(F38=0,0,N38/F38)</f>
        <v>0.0800187260438307</v>
      </c>
      <c r="AA38" s="8" t="n">
        <f aca="false">IF(G38=0,0,N38/G38)</f>
        <v>0.10402434385698</v>
      </c>
      <c r="AB38" s="7" t="n">
        <f aca="false">IF(D38=0,0,I38*(D38-E38)/D38)+J38</f>
        <v>12540</v>
      </c>
      <c r="AC38" s="23" t="n">
        <f aca="false">IF(Q38=0,"",P38/Q38)</f>
        <v>4.44444444444445</v>
      </c>
      <c r="AD38" s="7" t="n">
        <f aca="false">P38*O38</f>
        <v>47500</v>
      </c>
      <c r="AE38" s="24" t="n">
        <f aca="false">IF(Y38&lt;Допущения!$B$12,1,0)</f>
        <v>0</v>
      </c>
      <c r="AF38" s="24" t="n">
        <f aca="false">IF(AND(ISNUMBER(AC38),AC38&gt;Допущения!$B$13),1,0)</f>
        <v>0</v>
      </c>
    </row>
    <row r="39" customFormat="false" ht="15" hidden="false" customHeight="false" outlineLevel="0" collapsed="false">
      <c r="A39" s="6" t="s">
        <v>179</v>
      </c>
      <c r="B39" s="6" t="s">
        <v>180</v>
      </c>
      <c r="C39" s="6" t="s">
        <v>111</v>
      </c>
      <c r="D39" s="20" t="n">
        <v>283</v>
      </c>
      <c r="E39" s="20" t="n">
        <v>233</v>
      </c>
      <c r="F39" s="20" t="n">
        <v>280170</v>
      </c>
      <c r="G39" s="20" t="n">
        <v>230670</v>
      </c>
      <c r="H39" s="20" t="n">
        <v>64599</v>
      </c>
      <c r="I39" s="20" t="n">
        <v>27168</v>
      </c>
      <c r="J39" s="20" t="n">
        <v>4800</v>
      </c>
      <c r="K39" s="20" t="n">
        <v>2590</v>
      </c>
      <c r="L39" s="20" t="n">
        <v>1029</v>
      </c>
      <c r="M39" s="20" t="n">
        <v>486</v>
      </c>
      <c r="N39" s="20" t="n">
        <v>19323</v>
      </c>
      <c r="O39" s="21" t="n">
        <v>346</v>
      </c>
      <c r="P39" s="20" t="n">
        <v>150</v>
      </c>
      <c r="Q39" s="22" t="n">
        <v>22.5</v>
      </c>
      <c r="R39" s="20" t="n">
        <v>14663.86</v>
      </c>
      <c r="S39" s="7" t="n">
        <f aca="false">E39*O39</f>
        <v>80618</v>
      </c>
      <c r="T39" s="7" t="n">
        <f aca="false">G39-H39-I39-J39-K39-L39-M39</f>
        <v>129998</v>
      </c>
      <c r="U39" s="7" t="n">
        <f aca="false">G39*Допущения!$B$6/(1+Допущения!$B$6)</f>
        <v>10984.2857142857</v>
      </c>
      <c r="V39" s="7" t="n">
        <f aca="false">(G39-U39)*Допущения!$B$7</f>
        <v>13181.1428571429</v>
      </c>
      <c r="W39" s="7" t="n">
        <f aca="false">T39-N39-S39-U39-V39</f>
        <v>5891.57142857143</v>
      </c>
      <c r="X39" s="8" t="n">
        <f aca="false">IF(G39=0,0,W39/G39)</f>
        <v>0.0255411255411255</v>
      </c>
      <c r="Y39" s="8" t="n">
        <f aca="false">IF(D39=0,0,E39/D39)</f>
        <v>0.823321554770318</v>
      </c>
      <c r="Z39" s="8" t="n">
        <f aca="false">IF(F39=0,0,N39/F39)</f>
        <v>0.0689688403469322</v>
      </c>
      <c r="AA39" s="8" t="n">
        <f aca="false">IF(G39=0,0,N39/G39)</f>
        <v>0.0837690206788919</v>
      </c>
      <c r="AB39" s="7" t="n">
        <f aca="false">IF(D39=0,0,I39*(D39-E39)/D39)+J39</f>
        <v>9600</v>
      </c>
      <c r="AC39" s="23" t="n">
        <f aca="false">IF(Q39=0,"",P39/Q39)</f>
        <v>6.66666666666667</v>
      </c>
      <c r="AD39" s="7" t="n">
        <f aca="false">P39*O39</f>
        <v>51900</v>
      </c>
      <c r="AE39" s="24" t="n">
        <f aca="false">IF(Y39&lt;Допущения!$B$12,1,0)</f>
        <v>0</v>
      </c>
      <c r="AF39" s="24" t="n">
        <f aca="false">IF(AND(ISNUMBER(AC39),AC39&gt;Допущения!$B$13),1,0)</f>
        <v>0</v>
      </c>
    </row>
    <row r="40" customFormat="false" ht="15" hidden="false" customHeight="false" outlineLevel="0" collapsed="false">
      <c r="A40" s="6" t="s">
        <v>181</v>
      </c>
      <c r="B40" s="6" t="s">
        <v>182</v>
      </c>
      <c r="C40" s="6" t="s">
        <v>123</v>
      </c>
      <c r="D40" s="20" t="n">
        <v>221</v>
      </c>
      <c r="E40" s="20" t="n">
        <v>208</v>
      </c>
      <c r="F40" s="20" t="n">
        <v>130390</v>
      </c>
      <c r="G40" s="20" t="n">
        <v>122720</v>
      </c>
      <c r="H40" s="20" t="n">
        <v>32090</v>
      </c>
      <c r="I40" s="20" t="n">
        <v>12818</v>
      </c>
      <c r="J40" s="20" t="n">
        <v>754</v>
      </c>
      <c r="K40" s="20" t="n">
        <v>437</v>
      </c>
      <c r="L40" s="20" t="n">
        <v>247</v>
      </c>
      <c r="M40" s="20" t="n">
        <v>0</v>
      </c>
      <c r="N40" s="20" t="n">
        <v>7112</v>
      </c>
      <c r="O40" s="21" t="n">
        <v>184</v>
      </c>
      <c r="P40" s="20" t="n">
        <v>109</v>
      </c>
      <c r="Q40" s="22" t="n">
        <v>18</v>
      </c>
      <c r="R40" s="20" t="n">
        <v>21070.57</v>
      </c>
      <c r="S40" s="7" t="n">
        <f aca="false">E40*O40</f>
        <v>38272</v>
      </c>
      <c r="T40" s="7" t="n">
        <f aca="false">G40-H40-I40-J40-K40-L40-M40</f>
        <v>76374</v>
      </c>
      <c r="U40" s="7" t="n">
        <f aca="false">G40*Допущения!$B$6/(1+Допущения!$B$6)</f>
        <v>5843.80952380952</v>
      </c>
      <c r="V40" s="7" t="n">
        <f aca="false">(G40-U40)*Допущения!$B$7</f>
        <v>7012.57142857143</v>
      </c>
      <c r="W40" s="7" t="n">
        <f aca="false">T40-N40-S40-U40-V40</f>
        <v>18133.6190476191</v>
      </c>
      <c r="X40" s="8" t="n">
        <f aca="false">IF(G40=0,0,W40/G40)</f>
        <v>0.147764170857391</v>
      </c>
      <c r="Y40" s="8" t="n">
        <f aca="false">IF(D40=0,0,E40/D40)</f>
        <v>0.941176470588235</v>
      </c>
      <c r="Z40" s="8" t="n">
        <f aca="false">IF(F40=0,0,N40/F40)</f>
        <v>0.0545440601273104</v>
      </c>
      <c r="AA40" s="8" t="n">
        <f aca="false">IF(G40=0,0,N40/G40)</f>
        <v>0.0579530638852673</v>
      </c>
      <c r="AB40" s="7" t="n">
        <f aca="false">IF(D40=0,0,I40*(D40-E40)/D40)+J40</f>
        <v>1508</v>
      </c>
      <c r="AC40" s="23" t="n">
        <f aca="false">IF(Q40=0,"",P40/Q40)</f>
        <v>6.05555555555556</v>
      </c>
      <c r="AD40" s="7" t="n">
        <f aca="false">P40*O40</f>
        <v>20056</v>
      </c>
      <c r="AE40" s="24" t="n">
        <f aca="false">IF(Y40&lt;Допущения!$B$12,1,0)</f>
        <v>0</v>
      </c>
      <c r="AF40" s="24" t="n">
        <f aca="false">IF(AND(ISNUMBER(AC40),AC40&gt;Допущения!$B$13),1,0)</f>
        <v>0</v>
      </c>
    </row>
    <row r="41" customFormat="false" ht="15" hidden="false" customHeight="false" outlineLevel="0" collapsed="false">
      <c r="A41" s="6" t="s">
        <v>183</v>
      </c>
      <c r="B41" s="6" t="s">
        <v>184</v>
      </c>
      <c r="C41" s="6" t="s">
        <v>123</v>
      </c>
      <c r="D41" s="20" t="n">
        <v>366</v>
      </c>
      <c r="E41" s="20" t="n">
        <v>337</v>
      </c>
      <c r="F41" s="20" t="n">
        <v>179340</v>
      </c>
      <c r="G41" s="20" t="n">
        <v>165130</v>
      </c>
      <c r="H41" s="20" t="n">
        <v>42906</v>
      </c>
      <c r="I41" s="20" t="n">
        <v>21228</v>
      </c>
      <c r="J41" s="20" t="n">
        <v>1682</v>
      </c>
      <c r="K41" s="20" t="n">
        <v>662</v>
      </c>
      <c r="L41" s="20" t="n">
        <v>397</v>
      </c>
      <c r="M41" s="20" t="n">
        <v>0</v>
      </c>
      <c r="N41" s="20" t="n">
        <v>9633</v>
      </c>
      <c r="O41" s="21" t="n">
        <v>151</v>
      </c>
      <c r="P41" s="20" t="n">
        <v>227</v>
      </c>
      <c r="Q41" s="22" t="n">
        <v>28.75</v>
      </c>
      <c r="R41" s="20" t="n">
        <v>19288.67</v>
      </c>
      <c r="S41" s="7" t="n">
        <f aca="false">E41*O41</f>
        <v>50887</v>
      </c>
      <c r="T41" s="7" t="n">
        <f aca="false">G41-H41-I41-J41-K41-L41-M41</f>
        <v>98255</v>
      </c>
      <c r="U41" s="7" t="n">
        <f aca="false">G41*Допущения!$B$6/(1+Допущения!$B$6)</f>
        <v>7863.33333333333</v>
      </c>
      <c r="V41" s="7" t="n">
        <f aca="false">(G41-U41)*Допущения!$B$7</f>
        <v>9436</v>
      </c>
      <c r="W41" s="7" t="n">
        <f aca="false">T41-N41-S41-U41-V41</f>
        <v>20435.6666666667</v>
      </c>
      <c r="X41" s="8" t="n">
        <f aca="false">IF(G41=0,0,W41/G41)</f>
        <v>0.123755021296352</v>
      </c>
      <c r="Y41" s="8" t="n">
        <f aca="false">IF(D41=0,0,E41/D41)</f>
        <v>0.920765027322404</v>
      </c>
      <c r="Z41" s="8" t="n">
        <f aca="false">IF(F41=0,0,N41/F41)</f>
        <v>0.0537136165941787</v>
      </c>
      <c r="AA41" s="8" t="n">
        <f aca="false">IF(G41=0,0,N41/G41)</f>
        <v>0.058335856597832</v>
      </c>
      <c r="AB41" s="7" t="n">
        <f aca="false">IF(D41=0,0,I41*(D41-E41)/D41)+J41</f>
        <v>3364</v>
      </c>
      <c r="AC41" s="23" t="n">
        <f aca="false">IF(Q41=0,"",P41/Q41)</f>
        <v>7.89565217391304</v>
      </c>
      <c r="AD41" s="7" t="n">
        <f aca="false">P41*O41</f>
        <v>34277</v>
      </c>
      <c r="AE41" s="24" t="n">
        <f aca="false">IF(Y41&lt;Допущения!$B$12,1,0)</f>
        <v>0</v>
      </c>
      <c r="AF41" s="24" t="n">
        <f aca="false">IF(AND(ISNUMBER(AC41),AC41&gt;Допущения!$B$13),1,0)</f>
        <v>0</v>
      </c>
    </row>
    <row r="42" customFormat="false" ht="15" hidden="false" customHeight="false" outlineLevel="0" collapsed="false">
      <c r="A42" s="6" t="s">
        <v>185</v>
      </c>
      <c r="B42" s="6" t="s">
        <v>186</v>
      </c>
      <c r="C42" s="6" t="s">
        <v>91</v>
      </c>
      <c r="D42" s="20" t="n">
        <v>189</v>
      </c>
      <c r="E42" s="20" t="n">
        <v>154</v>
      </c>
      <c r="F42" s="20" t="n">
        <v>281610</v>
      </c>
      <c r="G42" s="20" t="n">
        <v>229460</v>
      </c>
      <c r="H42" s="20" t="n">
        <v>57857</v>
      </c>
      <c r="I42" s="20" t="n">
        <v>35910</v>
      </c>
      <c r="J42" s="20" t="n">
        <v>6650</v>
      </c>
      <c r="K42" s="20" t="n">
        <v>4731</v>
      </c>
      <c r="L42" s="20" t="n">
        <v>1576</v>
      </c>
      <c r="M42" s="20" t="n">
        <v>0</v>
      </c>
      <c r="N42" s="20" t="n">
        <v>19384</v>
      </c>
      <c r="O42" s="21" t="n">
        <v>508</v>
      </c>
      <c r="P42" s="20" t="n">
        <v>78</v>
      </c>
      <c r="Q42" s="22" t="n">
        <v>15.5</v>
      </c>
      <c r="R42" s="20" t="n">
        <v>13202.14</v>
      </c>
      <c r="S42" s="7" t="n">
        <f aca="false">E42*O42</f>
        <v>78232</v>
      </c>
      <c r="T42" s="7" t="n">
        <f aca="false">G42-H42-I42-J42-K42-L42-M42</f>
        <v>122736</v>
      </c>
      <c r="U42" s="7" t="n">
        <f aca="false">G42*Допущения!$B$6/(1+Допущения!$B$6)</f>
        <v>10926.6666666667</v>
      </c>
      <c r="V42" s="7" t="n">
        <f aca="false">(G42-U42)*Допущения!$B$7</f>
        <v>13112</v>
      </c>
      <c r="W42" s="7" t="n">
        <f aca="false">T42-N42-S42-U42-V42</f>
        <v>1081.33333333333</v>
      </c>
      <c r="X42" s="8" t="n">
        <f aca="false">IF(G42=0,0,W42/G42)</f>
        <v>0.00471251343734566</v>
      </c>
      <c r="Y42" s="8" t="n">
        <f aca="false">IF(D42=0,0,E42/D42)</f>
        <v>0.814814814814815</v>
      </c>
      <c r="Z42" s="8" t="n">
        <f aca="false">IF(F42=0,0,N42/F42)</f>
        <v>0.0688327829267427</v>
      </c>
      <c r="AA42" s="8" t="n">
        <f aca="false">IF(G42=0,0,N42/G42)</f>
        <v>0.0844765972282751</v>
      </c>
      <c r="AB42" s="7" t="n">
        <f aca="false">IF(D42=0,0,I42*(D42-E42)/D42)+J42</f>
        <v>13300</v>
      </c>
      <c r="AC42" s="23" t="n">
        <f aca="false">IF(Q42=0,"",P42/Q42)</f>
        <v>5.03225806451613</v>
      </c>
      <c r="AD42" s="7" t="n">
        <f aca="false">P42*O42</f>
        <v>39624</v>
      </c>
      <c r="AE42" s="24" t="n">
        <f aca="false">IF(Y42&lt;Допущения!$B$12,1,0)</f>
        <v>0</v>
      </c>
      <c r="AF42" s="24" t="n">
        <f aca="false">IF(AND(ISNUMBER(AC42),AC42&gt;Допущения!$B$13),1,0)</f>
        <v>0</v>
      </c>
    </row>
    <row r="43" customFormat="false" ht="15" hidden="false" customHeight="false" outlineLevel="0" collapsed="false">
      <c r="A43" s="6" t="s">
        <v>187</v>
      </c>
      <c r="B43" s="6" t="s">
        <v>188</v>
      </c>
      <c r="C43" s="6" t="s">
        <v>91</v>
      </c>
      <c r="D43" s="20" t="n">
        <v>432</v>
      </c>
      <c r="E43" s="20" t="n">
        <v>390</v>
      </c>
      <c r="F43" s="20" t="n">
        <v>427680</v>
      </c>
      <c r="G43" s="20" t="n">
        <v>386100</v>
      </c>
      <c r="H43" s="20" t="n">
        <v>96675</v>
      </c>
      <c r="I43" s="20" t="n">
        <v>41472</v>
      </c>
      <c r="J43" s="20" t="n">
        <v>4032</v>
      </c>
      <c r="K43" s="20" t="n">
        <v>3121</v>
      </c>
      <c r="L43" s="20" t="n">
        <v>702</v>
      </c>
      <c r="M43" s="20" t="n">
        <v>0</v>
      </c>
      <c r="N43" s="20" t="n">
        <v>28186</v>
      </c>
      <c r="O43" s="21" t="n">
        <v>324</v>
      </c>
      <c r="P43" s="20" t="n">
        <v>71</v>
      </c>
      <c r="Q43" s="22" t="n">
        <v>34.25</v>
      </c>
      <c r="R43" s="20" t="n">
        <v>59521.57</v>
      </c>
      <c r="S43" s="7" t="n">
        <f aca="false">E43*O43</f>
        <v>126360</v>
      </c>
      <c r="T43" s="7" t="n">
        <f aca="false">G43-H43-I43-J43-K43-L43-M43</f>
        <v>240098</v>
      </c>
      <c r="U43" s="7" t="n">
        <f aca="false">G43*Допущения!$B$6/(1+Допущения!$B$6)</f>
        <v>18385.7142857143</v>
      </c>
      <c r="V43" s="7" t="n">
        <f aca="false">(G43-U43)*Допущения!$B$7</f>
        <v>22062.8571428571</v>
      </c>
      <c r="W43" s="7" t="n">
        <f aca="false">T43-N43-S43-U43-V43</f>
        <v>45103.4285714286</v>
      </c>
      <c r="X43" s="8" t="n">
        <f aca="false">IF(G43=0,0,W43/G43)</f>
        <v>0.116817996817997</v>
      </c>
      <c r="Y43" s="8" t="n">
        <f aca="false">IF(D43=0,0,E43/D43)</f>
        <v>0.902777777777778</v>
      </c>
      <c r="Z43" s="8" t="n">
        <f aca="false">IF(F43=0,0,N43/F43)</f>
        <v>0.0659044145155256</v>
      </c>
      <c r="AA43" s="8" t="n">
        <f aca="false">IF(G43=0,0,N43/G43)</f>
        <v>0.073001813001813</v>
      </c>
      <c r="AB43" s="7" t="n">
        <f aca="false">IF(D43=0,0,I43*(D43-E43)/D43)+J43</f>
        <v>8064</v>
      </c>
      <c r="AC43" s="23" t="n">
        <f aca="false">IF(Q43=0,"",P43/Q43)</f>
        <v>2.07299270072993</v>
      </c>
      <c r="AD43" s="7" t="n">
        <f aca="false">P43*O43</f>
        <v>23004</v>
      </c>
      <c r="AE43" s="24" t="n">
        <f aca="false">IF(Y43&lt;Допущения!$B$12,1,0)</f>
        <v>0</v>
      </c>
      <c r="AF43" s="24" t="n">
        <f aca="false">IF(AND(ISNUMBER(AC43),AC43&gt;Допущения!$B$13),1,0)</f>
        <v>0</v>
      </c>
    </row>
    <row r="44" customFormat="false" ht="15" hidden="false" customHeight="false" outlineLevel="0" collapsed="false">
      <c r="A44" s="6" t="s">
        <v>189</v>
      </c>
      <c r="B44" s="6" t="s">
        <v>190</v>
      </c>
      <c r="C44" s="6" t="s">
        <v>144</v>
      </c>
      <c r="D44" s="20" t="n">
        <v>222</v>
      </c>
      <c r="E44" s="20" t="n">
        <v>185</v>
      </c>
      <c r="F44" s="20" t="n">
        <v>153180</v>
      </c>
      <c r="G44" s="20" t="n">
        <v>127650</v>
      </c>
      <c r="H44" s="20" t="n">
        <v>33258</v>
      </c>
      <c r="I44" s="20" t="n">
        <v>12876</v>
      </c>
      <c r="J44" s="20" t="n">
        <v>2146</v>
      </c>
      <c r="K44" s="20" t="n">
        <v>455</v>
      </c>
      <c r="L44" s="20" t="n">
        <v>247</v>
      </c>
      <c r="M44" s="20" t="n">
        <v>1505</v>
      </c>
      <c r="N44" s="20" t="n">
        <v>8145</v>
      </c>
      <c r="O44" s="21" t="n">
        <v>205</v>
      </c>
      <c r="P44" s="20" t="n">
        <v>120</v>
      </c>
      <c r="Q44" s="22" t="n">
        <v>18.5</v>
      </c>
      <c r="R44" s="20" t="n">
        <v>27125.71</v>
      </c>
      <c r="S44" s="7" t="n">
        <f aca="false">E44*O44</f>
        <v>37925</v>
      </c>
      <c r="T44" s="7" t="n">
        <f aca="false">G44-H44-I44-J44-K44-L44-M44</f>
        <v>77163</v>
      </c>
      <c r="U44" s="7" t="n">
        <f aca="false">G44*Допущения!$B$6/(1+Допущения!$B$6)</f>
        <v>6078.57142857143</v>
      </c>
      <c r="V44" s="7" t="n">
        <f aca="false">(G44-U44)*Допущения!$B$7</f>
        <v>7294.28571428571</v>
      </c>
      <c r="W44" s="7" t="n">
        <f aca="false">T44-N44-S44-U44-V44</f>
        <v>17720.1428571429</v>
      </c>
      <c r="X44" s="8" t="n">
        <f aca="false">IF(G44=0,0,W44/G44)</f>
        <v>0.138818197079067</v>
      </c>
      <c r="Y44" s="8" t="n">
        <f aca="false">IF(D44=0,0,E44/D44)</f>
        <v>0.833333333333333</v>
      </c>
      <c r="Z44" s="8" t="n">
        <f aca="false">IF(F44=0,0,N44/F44)</f>
        <v>0.0531727379553467</v>
      </c>
      <c r="AA44" s="8" t="n">
        <f aca="false">IF(G44=0,0,N44/G44)</f>
        <v>0.063807285546416</v>
      </c>
      <c r="AB44" s="7" t="n">
        <f aca="false">IF(D44=0,0,I44*(D44-E44)/D44)+J44</f>
        <v>4292</v>
      </c>
      <c r="AC44" s="23" t="n">
        <f aca="false">IF(Q44=0,"",P44/Q44)</f>
        <v>6.48648648648649</v>
      </c>
      <c r="AD44" s="7" t="n">
        <f aca="false">P44*O44</f>
        <v>24600</v>
      </c>
      <c r="AE44" s="24" t="n">
        <f aca="false">IF(Y44&lt;Допущения!$B$12,1,0)</f>
        <v>0</v>
      </c>
      <c r="AF44" s="24" t="n">
        <f aca="false">IF(AND(ISNUMBER(AC44),AC44&gt;Допущения!$B$13),1,0)</f>
        <v>0</v>
      </c>
    </row>
    <row r="45" customFormat="false" ht="15" hidden="false" customHeight="false" outlineLevel="0" collapsed="false">
      <c r="A45" s="6" t="s">
        <v>191</v>
      </c>
      <c r="B45" s="6" t="s">
        <v>192</v>
      </c>
      <c r="C45" s="6" t="s">
        <v>118</v>
      </c>
      <c r="D45" s="20" t="n">
        <v>186</v>
      </c>
      <c r="E45" s="20" t="n">
        <v>159</v>
      </c>
      <c r="F45" s="20" t="n">
        <v>239940</v>
      </c>
      <c r="G45" s="20" t="n">
        <v>205110</v>
      </c>
      <c r="H45" s="20" t="n">
        <v>55481</v>
      </c>
      <c r="I45" s="20" t="n">
        <v>10788</v>
      </c>
      <c r="J45" s="20" t="n">
        <v>1566</v>
      </c>
      <c r="K45" s="20" t="n">
        <v>431</v>
      </c>
      <c r="L45" s="20" t="n">
        <v>111</v>
      </c>
      <c r="M45" s="20" t="n">
        <v>2561</v>
      </c>
      <c r="N45" s="20" t="n">
        <v>22556</v>
      </c>
      <c r="O45" s="21" t="n">
        <v>464</v>
      </c>
      <c r="P45" s="20" t="n">
        <v>63</v>
      </c>
      <c r="Q45" s="22" t="n">
        <v>14</v>
      </c>
      <c r="R45" s="20" t="n">
        <v>27479.14</v>
      </c>
      <c r="S45" s="7" t="n">
        <f aca="false">E45*O45</f>
        <v>73776</v>
      </c>
      <c r="T45" s="7" t="n">
        <f aca="false">G45-H45-I45-J45-K45-L45-M45</f>
        <v>134172</v>
      </c>
      <c r="U45" s="7" t="n">
        <f aca="false">G45*Допущения!$B$6/(1+Допущения!$B$6)</f>
        <v>9767.14285714286</v>
      </c>
      <c r="V45" s="7" t="n">
        <f aca="false">(G45-U45)*Допущения!$B$7</f>
        <v>11720.5714285714</v>
      </c>
      <c r="W45" s="7" t="n">
        <f aca="false">T45-N45-S45-U45-V45</f>
        <v>16352.2857142857</v>
      </c>
      <c r="X45" s="8" t="n">
        <f aca="false">IF(G45=0,0,W45/G45)</f>
        <v>0.0797244684037137</v>
      </c>
      <c r="Y45" s="8" t="n">
        <f aca="false">IF(D45=0,0,E45/D45)</f>
        <v>0.854838709677419</v>
      </c>
      <c r="Z45" s="8" t="n">
        <f aca="false">IF(F45=0,0,N45/F45)</f>
        <v>0.0940068350420939</v>
      </c>
      <c r="AA45" s="8" t="n">
        <f aca="false">IF(G45=0,0,N45/G45)</f>
        <v>0.109970259860563</v>
      </c>
      <c r="AB45" s="7" t="n">
        <f aca="false">IF(D45=0,0,I45*(D45-E45)/D45)+J45</f>
        <v>3132</v>
      </c>
      <c r="AC45" s="23" t="n">
        <f aca="false">IF(Q45=0,"",P45/Q45)</f>
        <v>4.5</v>
      </c>
      <c r="AD45" s="7" t="n">
        <f aca="false">P45*O45</f>
        <v>29232</v>
      </c>
      <c r="AE45" s="24" t="n">
        <f aca="false">IF(Y45&lt;Допущения!$B$12,1,0)</f>
        <v>0</v>
      </c>
      <c r="AF45" s="24" t="n">
        <f aca="false">IF(AND(ISNUMBER(AC45),AC45&gt;Допущения!$B$13),1,0)</f>
        <v>0</v>
      </c>
    </row>
    <row r="46" customFormat="false" ht="15" hidden="false" customHeight="false" outlineLevel="0" collapsed="false">
      <c r="A46" s="25" t="s">
        <v>193</v>
      </c>
      <c r="B46" s="25"/>
      <c r="C46" s="25"/>
      <c r="D46" s="25" t="n">
        <f aca="false">SUM(D6:D45)</f>
        <v>11255</v>
      </c>
      <c r="E46" s="25" t="n">
        <f aca="false">SUM(E6:E45)</f>
        <v>9448</v>
      </c>
      <c r="F46" s="25" t="n">
        <f aca="false">SUM(F6:F45)</f>
        <v>12996950</v>
      </c>
      <c r="G46" s="25" t="n">
        <f aca="false">SUM(G6:G45)</f>
        <v>10508020</v>
      </c>
      <c r="H46" s="25" t="n">
        <f aca="false">SUM(H6:H45)</f>
        <v>2772829</v>
      </c>
      <c r="I46" s="25" t="n">
        <f aca="false">SUM(I6:I45)</f>
        <v>1080118</v>
      </c>
      <c r="J46" s="25" t="n">
        <f aca="false">SUM(J6:J45)</f>
        <v>207706</v>
      </c>
      <c r="K46" s="25" t="n">
        <f aca="false">SUM(K6:K45)</f>
        <v>114080</v>
      </c>
      <c r="L46" s="25" t="n">
        <f aca="false">SUM(L6:L45)</f>
        <v>27720</v>
      </c>
      <c r="M46" s="25" t="n">
        <f aca="false">SUM(M6:M45)</f>
        <v>49905</v>
      </c>
      <c r="N46" s="25" t="n">
        <f aca="false">SUM(N6:N45)</f>
        <v>1012499</v>
      </c>
      <c r="O46" s="25"/>
      <c r="P46" s="25" t="n">
        <f aca="false">SUM(P6:P45)</f>
        <v>4810</v>
      </c>
      <c r="Q46" s="25"/>
      <c r="R46" s="25" t="n">
        <f aca="false">SUM(R6:R45)</f>
        <v>870796.63</v>
      </c>
      <c r="S46" s="25" t="n">
        <f aca="false">SUM(S6:S45)</f>
        <v>3627774</v>
      </c>
      <c r="T46" s="25" t="n">
        <f aca="false">SUM(T6:T45)</f>
        <v>6255662</v>
      </c>
      <c r="U46" s="25" t="n">
        <f aca="false">SUM(U6:U45)</f>
        <v>500381.904761905</v>
      </c>
      <c r="V46" s="25" t="n">
        <f aca="false">SUM(V6:V45)</f>
        <v>600458.285714286</v>
      </c>
      <c r="W46" s="25" t="n">
        <f aca="false">SUM(W6:W45)</f>
        <v>514548.80952381</v>
      </c>
      <c r="X46" s="26" t="n">
        <f aca="false">W46/G46</f>
        <v>0.0489672468765581</v>
      </c>
      <c r="Y46" s="26" t="n">
        <f aca="false">E46/D46</f>
        <v>0.839449133718347</v>
      </c>
      <c r="Z46" s="26" t="n">
        <f aca="false">N46/F46</f>
        <v>0.0779028156605973</v>
      </c>
      <c r="AA46" s="26" t="n">
        <f aca="false">N46/G46</f>
        <v>0.0963548794159128</v>
      </c>
      <c r="AB46" s="25" t="n">
        <f aca="false">SUM(AB6:AB45)</f>
        <v>415412</v>
      </c>
      <c r="AC46" s="25"/>
      <c r="AD46" s="25" t="n">
        <f aca="false">SUM(AD6:AD45)</f>
        <v>2084231</v>
      </c>
      <c r="AE46" s="27" t="n">
        <f aca="false">SUM(AE6:AE45)</f>
        <v>4</v>
      </c>
      <c r="AF46" s="27" t="n">
        <f aca="false">SUM(AF6:AF45)</f>
        <v>2</v>
      </c>
    </row>
  </sheetData>
  <autoFilter ref="A5:AF4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4DCCB"/>
    <pageSetUpPr fitToPage="false"/>
  </sheetPr>
  <dimension ref="A1:S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8"/>
    <col collapsed="false" customWidth="true" hidden="false" outlineLevel="0" max="4" min="3" style="0" width="9"/>
    <col collapsed="false" customWidth="true" hidden="false" outlineLevel="0" max="6" min="5" style="0" width="12"/>
    <col collapsed="false" customWidth="true" hidden="false" outlineLevel="0" max="9" min="7" style="0" width="11"/>
    <col collapsed="false" customWidth="true" hidden="false" outlineLevel="0" max="10" min="10" style="0" width="10"/>
    <col collapsed="false" customWidth="true" hidden="false" outlineLevel="0" max="12" min="11" style="0" width="9"/>
    <col collapsed="false" customWidth="true" hidden="false" outlineLevel="0" max="13" min="13" style="0" width="11"/>
    <col collapsed="false" customWidth="true" hidden="false" outlineLevel="0" max="14" min="14" style="0" width="12"/>
    <col collapsed="false" customWidth="true" hidden="false" outlineLevel="0" max="15" min="15" style="0" width="10"/>
    <col collapsed="false" customWidth="true" hidden="false" outlineLevel="0" max="17" min="16" style="0" width="11"/>
    <col collapsed="false" customWidth="true" hidden="false" outlineLevel="0" max="18" min="18" style="0" width="12"/>
    <col collapsed="false" customWidth="true" hidden="false" outlineLevel="0" max="19" min="19" style="0" width="9"/>
  </cols>
  <sheetData>
    <row r="1" customFormat="false" ht="15" hidden="false" customHeight="false" outlineLevel="0" collapsed="false">
      <c r="A1" s="1" t="s">
        <v>0</v>
      </c>
    </row>
    <row r="2" customFormat="false" ht="18.55" hidden="false" customHeight="false" outlineLevel="0" collapsed="false">
      <c r="A2" s="2" t="s">
        <v>194</v>
      </c>
    </row>
    <row r="3" customFormat="false" ht="15" hidden="false" customHeight="false" outlineLevel="0" collapsed="false">
      <c r="A3" s="3" t="s">
        <v>195</v>
      </c>
    </row>
    <row r="5" customFormat="false" ht="30" hidden="false" customHeight="true" outlineLevel="0" collapsed="false">
      <c r="A5" s="14" t="s">
        <v>196</v>
      </c>
      <c r="B5" s="14" t="s">
        <v>197</v>
      </c>
      <c r="C5" s="14" t="s">
        <v>85</v>
      </c>
      <c r="D5" s="14" t="s">
        <v>86</v>
      </c>
      <c r="E5" s="14" t="s">
        <v>87</v>
      </c>
      <c r="F5" s="14" t="s">
        <v>7</v>
      </c>
      <c r="G5" s="14" t="s">
        <v>88</v>
      </c>
      <c r="H5" s="14" t="s">
        <v>198</v>
      </c>
      <c r="I5" s="14" t="s">
        <v>90</v>
      </c>
      <c r="J5" s="14" t="s">
        <v>91</v>
      </c>
      <c r="K5" s="14" t="s">
        <v>92</v>
      </c>
      <c r="L5" s="14" t="s">
        <v>199</v>
      </c>
      <c r="M5" s="14" t="s">
        <v>94</v>
      </c>
      <c r="N5" s="14" t="s">
        <v>99</v>
      </c>
      <c r="O5" s="14" t="s">
        <v>200</v>
      </c>
      <c r="P5" s="14" t="s">
        <v>201</v>
      </c>
      <c r="Q5" s="14" t="s">
        <v>202</v>
      </c>
      <c r="R5" s="14" t="s">
        <v>103</v>
      </c>
      <c r="S5" s="14" t="s">
        <v>10</v>
      </c>
    </row>
    <row r="6" customFormat="false" ht="15" hidden="false" customHeight="false" outlineLevel="0" collapsed="false">
      <c r="A6" s="28" t="n">
        <v>46083</v>
      </c>
      <c r="B6" s="9" t="s">
        <v>203</v>
      </c>
      <c r="C6" s="20" t="n">
        <v>902</v>
      </c>
      <c r="D6" s="20" t="n">
        <v>759</v>
      </c>
      <c r="E6" s="20" t="n">
        <v>1044880</v>
      </c>
      <c r="F6" s="20" t="n">
        <v>850210</v>
      </c>
      <c r="G6" s="20" t="n">
        <v>198821</v>
      </c>
      <c r="H6" s="20" t="n">
        <v>86840</v>
      </c>
      <c r="I6" s="20" t="n">
        <v>16362</v>
      </c>
      <c r="J6" s="20" t="n">
        <v>8806</v>
      </c>
      <c r="K6" s="20" t="n">
        <v>4525</v>
      </c>
      <c r="L6" s="20" t="n">
        <v>7815</v>
      </c>
      <c r="M6" s="20" t="n">
        <v>78657</v>
      </c>
      <c r="N6" s="20" t="n">
        <v>293575</v>
      </c>
      <c r="O6" s="29" t="n">
        <v>0</v>
      </c>
      <c r="P6" s="20" t="n">
        <v>0</v>
      </c>
      <c r="Q6" s="30" t="n">
        <f aca="false">F6*Допущения!$B$6/(1+Допущения!$B$6)+(F6-F6*Допущения!$B$6/(1+Допущения!$B$6))*Допущения!$B$7</f>
        <v>89069.619047619</v>
      </c>
      <c r="R6" s="30" t="n">
        <f aca="false">F6-G6-H6-I6-J6-K6-L6-M6-N6-Q6</f>
        <v>65739.380952381</v>
      </c>
      <c r="S6" s="31" t="n">
        <f aca="false">G6/F6</f>
        <v>0.233849284294468</v>
      </c>
    </row>
    <row r="7" customFormat="false" ht="15" hidden="false" customHeight="false" outlineLevel="0" collapsed="false">
      <c r="A7" s="28" t="n">
        <v>46090</v>
      </c>
      <c r="B7" s="9" t="s">
        <v>203</v>
      </c>
      <c r="C7" s="20" t="n">
        <v>900</v>
      </c>
      <c r="D7" s="20" t="n">
        <v>751</v>
      </c>
      <c r="E7" s="20" t="n">
        <v>1050300</v>
      </c>
      <c r="F7" s="20" t="n">
        <v>845590</v>
      </c>
      <c r="G7" s="20" t="n">
        <v>198113</v>
      </c>
      <c r="H7" s="20" t="n">
        <v>86666</v>
      </c>
      <c r="I7" s="20" t="n">
        <v>16824</v>
      </c>
      <c r="J7" s="20" t="n">
        <v>9044</v>
      </c>
      <c r="K7" s="20" t="n">
        <v>1121</v>
      </c>
      <c r="L7" s="20" t="n">
        <v>3947</v>
      </c>
      <c r="M7" s="20" t="n">
        <v>82685</v>
      </c>
      <c r="N7" s="20" t="n">
        <v>293455</v>
      </c>
      <c r="O7" s="29" t="n">
        <v>0</v>
      </c>
      <c r="P7" s="20" t="n">
        <v>0</v>
      </c>
      <c r="Q7" s="30" t="n">
        <f aca="false">F7*Допущения!$B$6/(1+Допущения!$B$6)+(F7-F7*Допущения!$B$6/(1+Допущения!$B$6))*Допущения!$B$7</f>
        <v>88585.619047619</v>
      </c>
      <c r="R7" s="30" t="n">
        <f aca="false">F7-G7-H7-I7-J7-K7-L7-M7-N7-Q7</f>
        <v>65149.380952381</v>
      </c>
      <c r="S7" s="31" t="n">
        <f aca="false">G7/F7</f>
        <v>0.234289667569389</v>
      </c>
    </row>
    <row r="8" customFormat="false" ht="15" hidden="false" customHeight="false" outlineLevel="0" collapsed="false">
      <c r="A8" s="28" t="n">
        <v>46097</v>
      </c>
      <c r="B8" s="9" t="s">
        <v>203</v>
      </c>
      <c r="C8" s="20" t="n">
        <v>913</v>
      </c>
      <c r="D8" s="20" t="n">
        <v>784</v>
      </c>
      <c r="E8" s="20" t="n">
        <v>1063570</v>
      </c>
      <c r="F8" s="20" t="n">
        <v>872160</v>
      </c>
      <c r="G8" s="20" t="n">
        <v>203797</v>
      </c>
      <c r="H8" s="20" t="n">
        <v>88272</v>
      </c>
      <c r="I8" s="20" t="n">
        <v>15174</v>
      </c>
      <c r="J8" s="20" t="n">
        <v>8426</v>
      </c>
      <c r="K8" s="20" t="n">
        <v>841</v>
      </c>
      <c r="L8" s="20" t="n">
        <v>8748</v>
      </c>
      <c r="M8" s="20" t="n">
        <v>83004</v>
      </c>
      <c r="N8" s="20" t="n">
        <v>301498</v>
      </c>
      <c r="O8" s="29" t="n">
        <v>0</v>
      </c>
      <c r="P8" s="20" t="n">
        <v>0</v>
      </c>
      <c r="Q8" s="30" t="n">
        <f aca="false">F8*Допущения!$B$6/(1+Допущения!$B$6)+(F8-F8*Допущения!$B$6/(1+Допущения!$B$6))*Допущения!$B$7</f>
        <v>91369.1428571429</v>
      </c>
      <c r="R8" s="30" t="n">
        <f aca="false">F8-G8-H8-I8-J8-K8-L8-M8-N8-Q8</f>
        <v>71030.8571428571</v>
      </c>
      <c r="S8" s="31" t="n">
        <f aca="false">G8/F8</f>
        <v>0.233669280865896</v>
      </c>
    </row>
    <row r="9" customFormat="false" ht="15" hidden="false" customHeight="false" outlineLevel="0" collapsed="false">
      <c r="A9" s="28" t="n">
        <v>46104</v>
      </c>
      <c r="B9" s="9" t="s">
        <v>203</v>
      </c>
      <c r="C9" s="20" t="n">
        <v>902</v>
      </c>
      <c r="D9" s="20" t="n">
        <v>756</v>
      </c>
      <c r="E9" s="20" t="n">
        <v>1040580</v>
      </c>
      <c r="F9" s="20" t="n">
        <v>840940</v>
      </c>
      <c r="G9" s="20" t="n">
        <v>196498</v>
      </c>
      <c r="H9" s="20" t="n">
        <v>86440</v>
      </c>
      <c r="I9" s="20" t="n">
        <v>16992</v>
      </c>
      <c r="J9" s="20" t="n">
        <v>7455</v>
      </c>
      <c r="K9" s="20" t="n">
        <v>187</v>
      </c>
      <c r="L9" s="20" t="n">
        <v>1488</v>
      </c>
      <c r="M9" s="20" t="n">
        <v>82754</v>
      </c>
      <c r="N9" s="20" t="n">
        <v>291249</v>
      </c>
      <c r="O9" s="29" t="n">
        <v>0</v>
      </c>
      <c r="P9" s="20" t="n">
        <v>0</v>
      </c>
      <c r="Q9" s="30" t="n">
        <f aca="false">F9*Допущения!$B$6/(1+Допущения!$B$6)+(F9-F9*Допущения!$B$6/(1+Допущения!$B$6))*Допущения!$B$7</f>
        <v>88098.4761904762</v>
      </c>
      <c r="R9" s="30" t="n">
        <f aca="false">F9-G9-H9-I9-J9-K9-L9-M9-N9-Q9</f>
        <v>69778.5238095238</v>
      </c>
      <c r="S9" s="31" t="n">
        <f aca="false">G9/F9</f>
        <v>0.233664708540443</v>
      </c>
    </row>
    <row r="10" customFormat="false" ht="15" hidden="false" customHeight="false" outlineLevel="0" collapsed="false">
      <c r="A10" s="28" t="n">
        <v>46111</v>
      </c>
      <c r="B10" s="9" t="s">
        <v>203</v>
      </c>
      <c r="C10" s="20" t="n">
        <v>938</v>
      </c>
      <c r="D10" s="20" t="n">
        <v>780</v>
      </c>
      <c r="E10" s="20" t="n">
        <v>1090920</v>
      </c>
      <c r="F10" s="20" t="n">
        <v>870700</v>
      </c>
      <c r="G10" s="20" t="n">
        <v>202862</v>
      </c>
      <c r="H10" s="20" t="n">
        <v>90628</v>
      </c>
      <c r="I10" s="20" t="n">
        <v>18290</v>
      </c>
      <c r="J10" s="20" t="n">
        <v>7919</v>
      </c>
      <c r="K10" s="20" t="n">
        <v>3383</v>
      </c>
      <c r="L10" s="20" t="n">
        <v>3228</v>
      </c>
      <c r="M10" s="20" t="n">
        <v>83361</v>
      </c>
      <c r="N10" s="20" t="n">
        <v>300804</v>
      </c>
      <c r="O10" s="29" t="n">
        <v>0</v>
      </c>
      <c r="P10" s="20" t="n">
        <v>0</v>
      </c>
      <c r="Q10" s="30" t="n">
        <f aca="false">F10*Допущения!$B$6/(1+Допущения!$B$6)+(F10-F10*Допущения!$B$6/(1+Допущения!$B$6))*Допущения!$B$7</f>
        <v>91216.1904761905</v>
      </c>
      <c r="R10" s="30" t="n">
        <f aca="false">F10-G10-H10-I10-J10-K10-L10-M10-N10-Q10</f>
        <v>69008.8095238095</v>
      </c>
      <c r="S10" s="31" t="n">
        <f aca="false">G10/F10</f>
        <v>0.232987251636614</v>
      </c>
    </row>
    <row r="11" customFormat="false" ht="15" hidden="false" customHeight="false" outlineLevel="0" collapsed="false">
      <c r="A11" s="28" t="n">
        <v>46118</v>
      </c>
      <c r="B11" s="9" t="s">
        <v>203</v>
      </c>
      <c r="C11" s="20" t="n">
        <v>926</v>
      </c>
      <c r="D11" s="20" t="n">
        <v>756</v>
      </c>
      <c r="E11" s="20" t="n">
        <v>1071740</v>
      </c>
      <c r="F11" s="20" t="n">
        <v>842040</v>
      </c>
      <c r="G11" s="20" t="n">
        <v>196364</v>
      </c>
      <c r="H11" s="20" t="n">
        <v>88608</v>
      </c>
      <c r="I11" s="20" t="n">
        <v>18836</v>
      </c>
      <c r="J11" s="20" t="n">
        <v>7623</v>
      </c>
      <c r="K11" s="20" t="n">
        <v>2612</v>
      </c>
      <c r="L11" s="20" t="n">
        <v>2910</v>
      </c>
      <c r="M11" s="20" t="n">
        <v>84309</v>
      </c>
      <c r="N11" s="20" t="n">
        <v>290551</v>
      </c>
      <c r="O11" s="29" t="n">
        <v>0</v>
      </c>
      <c r="P11" s="20" t="n">
        <v>0</v>
      </c>
      <c r="Q11" s="30" t="n">
        <f aca="false">F11*Допущения!$B$6/(1+Допущения!$B$6)+(F11-F11*Допущения!$B$6/(1+Допущения!$B$6))*Допущения!$B$7</f>
        <v>88213.7142857143</v>
      </c>
      <c r="R11" s="30" t="n">
        <f aca="false">F11-G11-H11-I11-J11-K11-L11-M11-N11-Q11</f>
        <v>62013.2857142857</v>
      </c>
      <c r="S11" s="31" t="n">
        <f aca="false">G11/F11</f>
        <v>0.233200323025034</v>
      </c>
    </row>
    <row r="12" customFormat="false" ht="15" hidden="false" customHeight="false" outlineLevel="0" collapsed="false">
      <c r="A12" s="28" t="n">
        <v>46125</v>
      </c>
      <c r="B12" s="9" t="s">
        <v>203</v>
      </c>
      <c r="C12" s="20" t="n">
        <v>953</v>
      </c>
      <c r="D12" s="20" t="n">
        <v>795</v>
      </c>
      <c r="E12" s="20" t="n">
        <v>1104970</v>
      </c>
      <c r="F12" s="20" t="n">
        <v>889250</v>
      </c>
      <c r="G12" s="20" t="n">
        <v>207627</v>
      </c>
      <c r="H12" s="20" t="n">
        <v>91802</v>
      </c>
      <c r="I12" s="20" t="n">
        <v>18874</v>
      </c>
      <c r="J12" s="20" t="n">
        <v>8704</v>
      </c>
      <c r="K12" s="20" t="n">
        <v>3275</v>
      </c>
      <c r="L12" s="20" t="n">
        <v>841</v>
      </c>
      <c r="M12" s="20" t="n">
        <v>85412</v>
      </c>
      <c r="N12" s="20" t="n">
        <v>307318</v>
      </c>
      <c r="O12" s="29" t="n">
        <v>0</v>
      </c>
      <c r="P12" s="20" t="n">
        <v>0</v>
      </c>
      <c r="Q12" s="30" t="n">
        <f aca="false">F12*Допущения!$B$6/(1+Допущения!$B$6)+(F12-F12*Допущения!$B$6/(1+Допущения!$B$6))*Допущения!$B$7</f>
        <v>93159.5238095238</v>
      </c>
      <c r="R12" s="30" t="n">
        <f aca="false">F12-G12-H12-I12-J12-K12-L12-M12-N12-Q12</f>
        <v>72237.4761904762</v>
      </c>
      <c r="S12" s="31" t="n">
        <f aca="false">G12/F12</f>
        <v>0.233485521506888</v>
      </c>
    </row>
    <row r="13" customFormat="false" ht="15" hidden="false" customHeight="false" outlineLevel="0" collapsed="false">
      <c r="A13" s="28" t="n">
        <v>46132</v>
      </c>
      <c r="B13" s="9" t="s">
        <v>203</v>
      </c>
      <c r="C13" s="20" t="n">
        <v>915</v>
      </c>
      <c r="D13" s="20" t="n">
        <v>762</v>
      </c>
      <c r="E13" s="20" t="n">
        <v>1055050</v>
      </c>
      <c r="F13" s="20" t="n">
        <v>844380</v>
      </c>
      <c r="G13" s="20" t="n">
        <v>197374</v>
      </c>
      <c r="H13" s="20" t="n">
        <v>89258</v>
      </c>
      <c r="I13" s="20" t="n">
        <v>17774</v>
      </c>
      <c r="J13" s="20" t="n">
        <v>9083</v>
      </c>
      <c r="K13" s="20" t="n">
        <v>3837</v>
      </c>
      <c r="L13" s="20" t="n">
        <v>3671</v>
      </c>
      <c r="M13" s="20" t="n">
        <v>80318</v>
      </c>
      <c r="N13" s="20" t="n">
        <v>291366</v>
      </c>
      <c r="O13" s="29" t="n">
        <v>7</v>
      </c>
      <c r="P13" s="20" t="n">
        <v>27375</v>
      </c>
      <c r="Q13" s="30" t="n">
        <f aca="false">F13*Допущения!$B$6/(1+Допущения!$B$6)+(F13-F13*Допущения!$B$6/(1+Допущения!$B$6))*Допущения!$B$7</f>
        <v>88458.8571428571</v>
      </c>
      <c r="R13" s="30" t="n">
        <f aca="false">F13-G13-H13-I13-J13-K13-L13-M13-N13-Q13</f>
        <v>63240.1428571429</v>
      </c>
      <c r="S13" s="31" t="n">
        <f aca="false">G13/F13</f>
        <v>0.233750207252659</v>
      </c>
    </row>
    <row r="14" customFormat="false" ht="15" hidden="false" customHeight="false" outlineLevel="0" collapsed="false">
      <c r="A14" s="28" t="n">
        <v>46139</v>
      </c>
      <c r="B14" s="9" t="s">
        <v>203</v>
      </c>
      <c r="C14" s="20" t="n">
        <v>912</v>
      </c>
      <c r="D14" s="20" t="n">
        <v>756</v>
      </c>
      <c r="E14" s="20" t="n">
        <v>1043080</v>
      </c>
      <c r="F14" s="20" t="n">
        <v>841840</v>
      </c>
      <c r="G14" s="20" t="n">
        <v>196830</v>
      </c>
      <c r="H14" s="20" t="n">
        <v>88382</v>
      </c>
      <c r="I14" s="20" t="n">
        <v>16894</v>
      </c>
      <c r="J14" s="20" t="n">
        <v>9546</v>
      </c>
      <c r="K14" s="20" t="n">
        <v>2822</v>
      </c>
      <c r="L14" s="20" t="n">
        <v>6476</v>
      </c>
      <c r="M14" s="20" t="n">
        <v>81809</v>
      </c>
      <c r="N14" s="20" t="n">
        <v>290959</v>
      </c>
      <c r="O14" s="29" t="n">
        <v>6</v>
      </c>
      <c r="P14" s="20" t="n">
        <v>23464</v>
      </c>
      <c r="Q14" s="30" t="n">
        <f aca="false">F14*Допущения!$B$6/(1+Допущения!$B$6)+(F14-F14*Допущения!$B$6/(1+Допущения!$B$6))*Допущения!$B$7</f>
        <v>88192.7619047619</v>
      </c>
      <c r="R14" s="30" t="n">
        <f aca="false">F14-G14-H14-I14-J14-K14-L14-M14-N14-Q14</f>
        <v>59929.2380952381</v>
      </c>
      <c r="S14" s="31" t="n">
        <f aca="false">G14/F14</f>
        <v>0.2338092749216</v>
      </c>
    </row>
    <row r="15" customFormat="false" ht="15" hidden="false" customHeight="false" outlineLevel="0" collapsed="false">
      <c r="A15" s="28" t="n">
        <v>46146</v>
      </c>
      <c r="B15" s="9" t="s">
        <v>203</v>
      </c>
      <c r="C15" s="20" t="n">
        <v>939</v>
      </c>
      <c r="D15" s="20" t="n">
        <v>781</v>
      </c>
      <c r="E15" s="20" t="n">
        <v>1094310</v>
      </c>
      <c r="F15" s="20" t="n">
        <v>875890</v>
      </c>
      <c r="G15" s="20" t="n">
        <v>204540</v>
      </c>
      <c r="H15" s="20" t="n">
        <v>90482</v>
      </c>
      <c r="I15" s="20" t="n">
        <v>17894</v>
      </c>
      <c r="J15" s="20" t="n">
        <v>9468</v>
      </c>
      <c r="K15" s="20" t="n">
        <v>943</v>
      </c>
      <c r="L15" s="20" t="n">
        <v>5247</v>
      </c>
      <c r="M15" s="20" t="n">
        <v>84805</v>
      </c>
      <c r="N15" s="20" t="n">
        <v>302458</v>
      </c>
      <c r="O15" s="29" t="n">
        <v>0</v>
      </c>
      <c r="P15" s="20" t="n">
        <v>0</v>
      </c>
      <c r="Q15" s="30" t="n">
        <f aca="false">F15*Допущения!$B$6/(1+Допущения!$B$6)+(F15-F15*Допущения!$B$6/(1+Допущения!$B$6))*Допущения!$B$7</f>
        <v>91759.9047619048</v>
      </c>
      <c r="R15" s="30" t="n">
        <f aca="false">F15-G15-H15-I15-J15-K15-L15-M15-N15-Q15</f>
        <v>68293.0952380952</v>
      </c>
      <c r="S15" s="31" t="n">
        <f aca="false">G15/F15</f>
        <v>0.2335224742833</v>
      </c>
    </row>
    <row r="16" customFormat="false" ht="15" hidden="false" customHeight="false" outlineLevel="0" collapsed="false">
      <c r="A16" s="28" t="n">
        <v>46153</v>
      </c>
      <c r="B16" s="9" t="s">
        <v>203</v>
      </c>
      <c r="C16" s="20" t="n">
        <v>928</v>
      </c>
      <c r="D16" s="20" t="n">
        <v>757</v>
      </c>
      <c r="E16" s="20" t="n">
        <v>1084220</v>
      </c>
      <c r="F16" s="20" t="n">
        <v>844730</v>
      </c>
      <c r="G16" s="20" t="n">
        <v>197473</v>
      </c>
      <c r="H16" s="20" t="n">
        <v>89104</v>
      </c>
      <c r="I16" s="20" t="n">
        <v>19088</v>
      </c>
      <c r="J16" s="20" t="n">
        <v>8888</v>
      </c>
      <c r="K16" s="20" t="n">
        <v>1200</v>
      </c>
      <c r="L16" s="20" t="n">
        <v>2421</v>
      </c>
      <c r="M16" s="20" t="n">
        <v>86383</v>
      </c>
      <c r="N16" s="20" t="n">
        <v>292275</v>
      </c>
      <c r="O16" s="29" t="n">
        <v>0</v>
      </c>
      <c r="P16" s="20" t="n">
        <v>0</v>
      </c>
      <c r="Q16" s="30" t="n">
        <f aca="false">F16*Допущения!$B$6/(1+Допущения!$B$6)+(F16-F16*Допущения!$B$6/(1+Допущения!$B$6))*Допущения!$B$7</f>
        <v>88495.5238095238</v>
      </c>
      <c r="R16" s="30" t="n">
        <f aca="false">F16-G16-H16-I16-J16-K16-L16-M16-N16-Q16</f>
        <v>59402.4761904762</v>
      </c>
      <c r="S16" s="31" t="n">
        <f aca="false">G16/F16</f>
        <v>0.233770553904798</v>
      </c>
    </row>
    <row r="17" customFormat="false" ht="15" hidden="false" customHeight="false" outlineLevel="0" collapsed="false">
      <c r="A17" s="28" t="n">
        <v>46160</v>
      </c>
      <c r="B17" s="9" t="s">
        <v>203</v>
      </c>
      <c r="C17" s="20" t="n">
        <v>968</v>
      </c>
      <c r="D17" s="20" t="n">
        <v>813</v>
      </c>
      <c r="E17" s="20" t="n">
        <v>1140220</v>
      </c>
      <c r="F17" s="20" t="n">
        <v>915970</v>
      </c>
      <c r="G17" s="20" t="n">
        <v>213735</v>
      </c>
      <c r="H17" s="20" t="n">
        <v>94166</v>
      </c>
      <c r="I17" s="20" t="n">
        <v>18438</v>
      </c>
      <c r="J17" s="20" t="n">
        <v>8139</v>
      </c>
      <c r="K17" s="20" t="n">
        <v>2135</v>
      </c>
      <c r="L17" s="20" t="n">
        <v>4125</v>
      </c>
      <c r="M17" s="20" t="n">
        <v>89463</v>
      </c>
      <c r="N17" s="20" t="n">
        <v>317316</v>
      </c>
      <c r="O17" s="29" t="n">
        <v>0</v>
      </c>
      <c r="P17" s="20" t="n">
        <v>0</v>
      </c>
      <c r="Q17" s="30" t="n">
        <f aca="false">F17*Допущения!$B$6/(1+Допущения!$B$6)+(F17-F17*Допущения!$B$6/(1+Допущения!$B$6))*Допущения!$B$7</f>
        <v>95958.7619047619</v>
      </c>
      <c r="R17" s="30" t="n">
        <f aca="false">F17-G17-H17-I17-J17-K17-L17-M17-N17-Q17</f>
        <v>72494.2380952381</v>
      </c>
      <c r="S17" s="31" t="n">
        <f aca="false">G17/F17</f>
        <v>0.233342795069708</v>
      </c>
    </row>
    <row r="18" customFormat="false" ht="15" hidden="false" customHeight="false" outlineLevel="0" collapsed="false">
      <c r="A18" s="28" t="n">
        <v>46167</v>
      </c>
      <c r="B18" s="9" t="s">
        <v>203</v>
      </c>
      <c r="C18" s="20" t="n">
        <v>959</v>
      </c>
      <c r="D18" s="20" t="n">
        <v>807</v>
      </c>
      <c r="E18" s="20" t="n">
        <v>1105710</v>
      </c>
      <c r="F18" s="20" t="n">
        <v>889830</v>
      </c>
      <c r="G18" s="20" t="n">
        <v>207640</v>
      </c>
      <c r="H18" s="20" t="n">
        <v>92116</v>
      </c>
      <c r="I18" s="20" t="n">
        <v>18056</v>
      </c>
      <c r="J18" s="20" t="n">
        <v>8176</v>
      </c>
      <c r="K18" s="20" t="n">
        <v>1508</v>
      </c>
      <c r="L18" s="20" t="n">
        <v>4507</v>
      </c>
      <c r="M18" s="20" t="n">
        <v>85760</v>
      </c>
      <c r="N18" s="20" t="n">
        <v>306367</v>
      </c>
      <c r="O18" s="29" t="n">
        <v>0</v>
      </c>
      <c r="P18" s="20" t="n">
        <v>0</v>
      </c>
      <c r="Q18" s="30" t="n">
        <f aca="false">F18*Допущения!$B$6/(1+Допущения!$B$6)+(F18-F18*Допущения!$B$6/(1+Допущения!$B$6))*Допущения!$B$7</f>
        <v>93220.2857142857</v>
      </c>
      <c r="R18" s="30" t="n">
        <f aca="false">F18-G18-H18-I18-J18-K18-L18-M18-N18-Q18</f>
        <v>72479.7142857143</v>
      </c>
      <c r="S18" s="31" t="n">
        <f aca="false">G18/F18</f>
        <v>0.233347942865491</v>
      </c>
    </row>
    <row r="19" customFormat="false" ht="15" hidden="false" customHeight="false" outlineLevel="0" collapsed="false">
      <c r="A19" s="28" t="n">
        <v>46174</v>
      </c>
      <c r="B19" s="9" t="s">
        <v>204</v>
      </c>
      <c r="C19" s="20" t="n">
        <v>829</v>
      </c>
      <c r="D19" s="20" t="n">
        <v>685</v>
      </c>
      <c r="E19" s="20" t="n">
        <v>946110</v>
      </c>
      <c r="F19" s="20" t="n">
        <v>753150</v>
      </c>
      <c r="G19" s="20" t="n">
        <v>175699</v>
      </c>
      <c r="H19" s="20" t="n">
        <v>78618</v>
      </c>
      <c r="I19" s="20" t="n">
        <v>15972</v>
      </c>
      <c r="J19" s="20" t="n">
        <v>8474</v>
      </c>
      <c r="K19" s="20" t="n">
        <v>2394</v>
      </c>
      <c r="L19" s="20" t="n">
        <v>2560</v>
      </c>
      <c r="M19" s="20" t="n">
        <v>72672</v>
      </c>
      <c r="N19" s="20" t="n">
        <v>259035</v>
      </c>
      <c r="O19" s="29" t="n">
        <v>0</v>
      </c>
      <c r="P19" s="20" t="n">
        <v>0</v>
      </c>
      <c r="Q19" s="30" t="n">
        <f aca="false">F19*Допущения!$B$6/(1+Допущения!$B$6)+(F19-F19*Допущения!$B$6/(1+Допущения!$B$6))*Допущения!$B$7</f>
        <v>78901.4285714286</v>
      </c>
      <c r="R19" s="30" t="n">
        <f aca="false">F19-G19-H19-I19-J19-K19-L19-M19-N19-Q19</f>
        <v>58824.5714285714</v>
      </c>
      <c r="S19" s="31" t="n">
        <f aca="false">G19/F19</f>
        <v>0.233285534090155</v>
      </c>
    </row>
    <row r="20" customFormat="false" ht="15" hidden="false" customHeight="false" outlineLevel="0" collapsed="false">
      <c r="A20" s="28" t="n">
        <v>46181</v>
      </c>
      <c r="B20" s="9" t="s">
        <v>204</v>
      </c>
      <c r="C20" s="20" t="n">
        <v>847</v>
      </c>
      <c r="D20" s="20" t="n">
        <v>720</v>
      </c>
      <c r="E20" s="20" t="n">
        <v>979730</v>
      </c>
      <c r="F20" s="20" t="n">
        <v>801500</v>
      </c>
      <c r="G20" s="20" t="n">
        <v>186654</v>
      </c>
      <c r="H20" s="20" t="n">
        <v>81112</v>
      </c>
      <c r="I20" s="20" t="n">
        <v>14980</v>
      </c>
      <c r="J20" s="20" t="n">
        <v>8857</v>
      </c>
      <c r="K20" s="20" t="n">
        <v>2965</v>
      </c>
      <c r="L20" s="20" t="n">
        <v>3490</v>
      </c>
      <c r="M20" s="20" t="n">
        <v>77170</v>
      </c>
      <c r="N20" s="20" t="n">
        <v>276087</v>
      </c>
      <c r="O20" s="29" t="n">
        <v>0</v>
      </c>
      <c r="P20" s="20" t="n">
        <v>0</v>
      </c>
      <c r="Q20" s="30" t="n">
        <f aca="false">F20*Допущения!$B$6/(1+Допущения!$B$6)+(F20-F20*Допущения!$B$6/(1+Допущения!$B$6))*Допущения!$B$7</f>
        <v>83966.6666666667</v>
      </c>
      <c r="R20" s="30" t="n">
        <f aca="false">F20-G20-H20-I20-J20-K20-L20-M20-N20-Q20</f>
        <v>66218.3333333333</v>
      </c>
      <c r="S20" s="31" t="n">
        <f aca="false">G20/F20</f>
        <v>0.232880848409233</v>
      </c>
    </row>
    <row r="21" customFormat="false" ht="15" hidden="false" customHeight="false" outlineLevel="0" collapsed="false">
      <c r="A21" s="28" t="n">
        <v>46188</v>
      </c>
      <c r="B21" s="9" t="s">
        <v>204</v>
      </c>
      <c r="C21" s="20" t="n">
        <v>860</v>
      </c>
      <c r="D21" s="20" t="n">
        <v>706</v>
      </c>
      <c r="E21" s="20" t="n">
        <v>999600</v>
      </c>
      <c r="F21" s="20" t="n">
        <v>781440</v>
      </c>
      <c r="G21" s="20" t="n">
        <v>181986</v>
      </c>
      <c r="H21" s="20" t="n">
        <v>83266</v>
      </c>
      <c r="I21" s="20" t="n">
        <v>18152</v>
      </c>
      <c r="J21" s="20" t="n">
        <v>8611</v>
      </c>
      <c r="K21" s="20" t="n">
        <v>1475</v>
      </c>
      <c r="L21" s="20" t="n">
        <v>5014</v>
      </c>
      <c r="M21" s="20" t="n">
        <v>77575</v>
      </c>
      <c r="N21" s="20" t="n">
        <v>269471</v>
      </c>
      <c r="O21" s="29" t="n">
        <v>0</v>
      </c>
      <c r="P21" s="20" t="n">
        <v>0</v>
      </c>
      <c r="Q21" s="30" t="n">
        <f aca="false">F21*Допущения!$B$6/(1+Допущения!$B$6)+(F21-F21*Допущения!$B$6/(1+Допущения!$B$6))*Допущения!$B$7</f>
        <v>81865.1428571429</v>
      </c>
      <c r="R21" s="30" t="n">
        <f aca="false">F21-G21-H21-I21-J21-K21-L21-M21-N21-Q21</f>
        <v>54024.8571428571</v>
      </c>
      <c r="S21" s="31" t="n">
        <f aca="false">G21/F21</f>
        <v>0.232885442260442</v>
      </c>
    </row>
    <row r="22" customFormat="false" ht="15" hidden="false" customHeight="false" outlineLevel="0" collapsed="false">
      <c r="A22" s="28" t="n">
        <v>46195</v>
      </c>
      <c r="B22" s="9" t="s">
        <v>204</v>
      </c>
      <c r="C22" s="20" t="n">
        <v>869</v>
      </c>
      <c r="D22" s="20" t="n">
        <v>721</v>
      </c>
      <c r="E22" s="20" t="n">
        <v>1010510</v>
      </c>
      <c r="F22" s="20" t="n">
        <v>806490</v>
      </c>
      <c r="G22" s="20" t="n">
        <v>187848</v>
      </c>
      <c r="H22" s="20" t="n">
        <v>84052</v>
      </c>
      <c r="I22" s="20" t="n">
        <v>17558</v>
      </c>
      <c r="J22" s="20" t="n">
        <v>8242</v>
      </c>
      <c r="K22" s="20" t="n">
        <v>2286</v>
      </c>
      <c r="L22" s="20" t="n">
        <v>4743</v>
      </c>
      <c r="M22" s="20" t="n">
        <v>79801</v>
      </c>
      <c r="N22" s="20" t="n">
        <v>278468</v>
      </c>
      <c r="O22" s="29" t="n">
        <v>0</v>
      </c>
      <c r="P22" s="20" t="n">
        <v>0</v>
      </c>
      <c r="Q22" s="30" t="n">
        <f aca="false">F22*Допущения!$B$6/(1+Допущения!$B$6)+(F22-F22*Допущения!$B$6/(1+Допущения!$B$6))*Допущения!$B$7</f>
        <v>84489.4285714286</v>
      </c>
      <c r="R22" s="30" t="n">
        <f aca="false">F22-G22-H22-I22-J22-K22-L22-M22-N22-Q22</f>
        <v>59002.5714285714</v>
      </c>
      <c r="S22" s="31" t="n">
        <f aca="false">G22/F22</f>
        <v>0.23292043298739</v>
      </c>
    </row>
    <row r="23" customFormat="false" ht="15" hidden="false" customHeight="false" outlineLevel="0" collapsed="false">
      <c r="A23" s="28" t="n">
        <v>46202</v>
      </c>
      <c r="B23" s="9" t="s">
        <v>204</v>
      </c>
      <c r="C23" s="20" t="n">
        <v>842</v>
      </c>
      <c r="D23" s="20" t="n">
        <v>702</v>
      </c>
      <c r="E23" s="20" t="n">
        <v>971180</v>
      </c>
      <c r="F23" s="20" t="n">
        <v>771580</v>
      </c>
      <c r="G23" s="20" t="n">
        <v>179753</v>
      </c>
      <c r="H23" s="20" t="n">
        <v>81446</v>
      </c>
      <c r="I23" s="20" t="n">
        <v>16622</v>
      </c>
      <c r="J23" s="20" t="n">
        <v>9030</v>
      </c>
      <c r="K23" s="20" t="n">
        <v>2388</v>
      </c>
      <c r="L23" s="20" t="n">
        <v>5599</v>
      </c>
      <c r="M23" s="20" t="n">
        <v>76902</v>
      </c>
      <c r="N23" s="20" t="n">
        <v>265783</v>
      </c>
      <c r="O23" s="29" t="n">
        <v>0</v>
      </c>
      <c r="P23" s="20" t="n">
        <v>0</v>
      </c>
      <c r="Q23" s="30" t="n">
        <f aca="false">F23*Допущения!$B$6/(1+Допущения!$B$6)+(F23-F23*Допущения!$B$6/(1+Допущения!$B$6))*Допущения!$B$7</f>
        <v>80832.1904761905</v>
      </c>
      <c r="R23" s="30" t="n">
        <f aca="false">F23-G23-H23-I23-J23-K23-L23-M23-N23-Q23</f>
        <v>53224.8095238095</v>
      </c>
      <c r="S23" s="31" t="n">
        <f aca="false">G23/F23</f>
        <v>0.232967417506934</v>
      </c>
    </row>
    <row r="24" customFormat="false" ht="15" hidden="false" customHeight="false" outlineLevel="0" collapsed="false">
      <c r="A24" s="28" t="n">
        <v>46209</v>
      </c>
      <c r="B24" s="9" t="s">
        <v>204</v>
      </c>
      <c r="C24" s="20" t="n">
        <v>843</v>
      </c>
      <c r="D24" s="20" t="n">
        <v>705</v>
      </c>
      <c r="E24" s="20" t="n">
        <v>979170</v>
      </c>
      <c r="F24" s="20" t="n">
        <v>787050</v>
      </c>
      <c r="G24" s="20" t="n">
        <v>217360</v>
      </c>
      <c r="H24" s="20" t="n">
        <v>80732</v>
      </c>
      <c r="I24" s="20" t="n">
        <v>15488</v>
      </c>
      <c r="J24" s="20" t="n">
        <v>8422</v>
      </c>
      <c r="K24" s="20" t="n">
        <v>859</v>
      </c>
      <c r="L24" s="20" t="n">
        <v>2145</v>
      </c>
      <c r="M24" s="20" t="n">
        <v>77788</v>
      </c>
      <c r="N24" s="20" t="n">
        <v>271592</v>
      </c>
      <c r="O24" s="29" t="n">
        <v>0</v>
      </c>
      <c r="P24" s="20" t="n">
        <v>0</v>
      </c>
      <c r="Q24" s="30" t="n">
        <f aca="false">F24*Допущения!$B$6/(1+Допущения!$B$6)+(F24-F24*Допущения!$B$6/(1+Допущения!$B$6))*Допущения!$B$7</f>
        <v>82452.8571428571</v>
      </c>
      <c r="R24" s="30" t="n">
        <f aca="false">F24-G24-H24-I24-J24-K24-L24-M24-N24-Q24</f>
        <v>30211.1428571429</v>
      </c>
      <c r="S24" s="31" t="n">
        <f aca="false">G24/F24</f>
        <v>0.276170510132774</v>
      </c>
    </row>
    <row r="25" customFormat="false" ht="15" hidden="false" customHeight="false" outlineLevel="0" collapsed="false">
      <c r="A25" s="28" t="n">
        <v>46216</v>
      </c>
      <c r="B25" s="9" t="s">
        <v>204</v>
      </c>
      <c r="C25" s="20" t="n">
        <v>833</v>
      </c>
      <c r="D25" s="20" t="n">
        <v>726</v>
      </c>
      <c r="E25" s="20" t="n">
        <v>959070</v>
      </c>
      <c r="F25" s="20" t="n">
        <v>804340</v>
      </c>
      <c r="G25" s="20" t="n">
        <v>227787</v>
      </c>
      <c r="H25" s="20" t="n">
        <v>80112</v>
      </c>
      <c r="I25" s="20" t="n">
        <v>12988</v>
      </c>
      <c r="J25" s="20" t="n">
        <v>8727</v>
      </c>
      <c r="K25" s="20" t="n">
        <v>3295</v>
      </c>
      <c r="L25" s="20" t="n">
        <v>1322</v>
      </c>
      <c r="M25" s="20" t="n">
        <v>73376</v>
      </c>
      <c r="N25" s="20" t="n">
        <v>277455</v>
      </c>
      <c r="O25" s="29" t="n">
        <v>0</v>
      </c>
      <c r="P25" s="20" t="n">
        <v>0</v>
      </c>
      <c r="Q25" s="30" t="n">
        <f aca="false">F25*Допущения!$B$6/(1+Допущения!$B$6)+(F25-F25*Допущения!$B$6/(1+Допущения!$B$6))*Допущения!$B$7</f>
        <v>84264.1904761905</v>
      </c>
      <c r="R25" s="30" t="n">
        <f aca="false">F25-G25-H25-I25-J25-K25-L25-M25-N25-Q25</f>
        <v>35013.8095238095</v>
      </c>
      <c r="S25" s="31" t="n">
        <f aca="false">G25/F25</f>
        <v>0.283197404082851</v>
      </c>
    </row>
    <row r="26" customFormat="false" ht="15" hidden="false" customHeight="false" outlineLevel="0" collapsed="false">
      <c r="A26" s="28" t="n">
        <v>46223</v>
      </c>
      <c r="B26" s="9" t="s">
        <v>204</v>
      </c>
      <c r="C26" s="20" t="n">
        <v>834</v>
      </c>
      <c r="D26" s="20" t="n">
        <v>691</v>
      </c>
      <c r="E26" s="20" t="n">
        <v>964160</v>
      </c>
      <c r="F26" s="20" t="n">
        <v>782490</v>
      </c>
      <c r="G26" s="20" t="n">
        <v>221618</v>
      </c>
      <c r="H26" s="20" t="n">
        <v>79982</v>
      </c>
      <c r="I26" s="20" t="n">
        <v>15442</v>
      </c>
      <c r="J26" s="20" t="n">
        <v>8865</v>
      </c>
      <c r="K26" s="20" t="n">
        <v>914</v>
      </c>
      <c r="L26" s="20" t="n">
        <v>1727</v>
      </c>
      <c r="M26" s="20" t="n">
        <v>76178</v>
      </c>
      <c r="N26" s="20" t="n">
        <v>272200</v>
      </c>
      <c r="O26" s="29" t="n">
        <v>0</v>
      </c>
      <c r="P26" s="20" t="n">
        <v>0</v>
      </c>
      <c r="Q26" s="30" t="n">
        <f aca="false">F26*Допущения!$B$6/(1+Допущения!$B$6)+(F26-F26*Допущения!$B$6/(1+Допущения!$B$6))*Допущения!$B$7</f>
        <v>81975.1428571429</v>
      </c>
      <c r="R26" s="30" t="n">
        <f aca="false">F26-G26-H26-I26-J26-K26-L26-M26-N26-Q26</f>
        <v>23588.8571428571</v>
      </c>
      <c r="S26" s="31" t="n">
        <f aca="false">G26/F26</f>
        <v>0.28322151081803</v>
      </c>
    </row>
    <row r="27" customFormat="false" ht="15" hidden="false" customHeight="false" outlineLevel="0" collapsed="false">
      <c r="A27" s="28" t="n">
        <v>46230</v>
      </c>
      <c r="B27" s="9" t="s">
        <v>204</v>
      </c>
      <c r="C27" s="20" t="n">
        <v>867</v>
      </c>
      <c r="D27" s="20" t="n">
        <v>726</v>
      </c>
      <c r="E27" s="20" t="n">
        <v>1011930</v>
      </c>
      <c r="F27" s="20" t="n">
        <v>810740</v>
      </c>
      <c r="G27" s="20" t="n">
        <v>229208</v>
      </c>
      <c r="H27" s="20" t="n">
        <v>83916</v>
      </c>
      <c r="I27" s="20" t="n">
        <v>16304</v>
      </c>
      <c r="J27" s="20" t="n">
        <v>8591</v>
      </c>
      <c r="K27" s="20" t="n">
        <v>1932</v>
      </c>
      <c r="L27" s="20" t="n">
        <v>2486</v>
      </c>
      <c r="M27" s="20" t="n">
        <v>78356</v>
      </c>
      <c r="N27" s="20" t="n">
        <v>280154</v>
      </c>
      <c r="O27" s="29" t="n">
        <v>0</v>
      </c>
      <c r="P27" s="20" t="n">
        <v>0</v>
      </c>
      <c r="Q27" s="30" t="n">
        <f aca="false">F27*Допущения!$B$6/(1+Допущения!$B$6)+(F27-F27*Допущения!$B$6/(1+Допущения!$B$6))*Допущения!$B$7</f>
        <v>84934.6666666667</v>
      </c>
      <c r="R27" s="30" t="n">
        <f aca="false">F27-G27-H27-I27-J27-K27-L27-M27-N27-Q27</f>
        <v>24858.3333333333</v>
      </c>
      <c r="S27" s="31" t="n">
        <f aca="false">G27/F27</f>
        <v>0.282714557071318</v>
      </c>
    </row>
    <row r="28" customFormat="false" ht="15" hidden="false" customHeight="false" outlineLevel="0" collapsed="false">
      <c r="A28" s="28" t="n">
        <v>46237</v>
      </c>
      <c r="B28" s="9" t="s">
        <v>204</v>
      </c>
      <c r="C28" s="20" t="n">
        <v>905</v>
      </c>
      <c r="D28" s="20" t="n">
        <v>777</v>
      </c>
      <c r="E28" s="20" t="n">
        <v>1027650</v>
      </c>
      <c r="F28" s="20" t="n">
        <v>860430</v>
      </c>
      <c r="G28" s="20" t="n">
        <v>243482</v>
      </c>
      <c r="H28" s="20" t="n">
        <v>85730</v>
      </c>
      <c r="I28" s="20" t="n">
        <v>14230</v>
      </c>
      <c r="J28" s="20" t="n">
        <v>8337</v>
      </c>
      <c r="K28" s="20" t="n">
        <v>2759</v>
      </c>
      <c r="L28" s="20" t="n">
        <v>4852</v>
      </c>
      <c r="M28" s="20" t="n">
        <v>77816</v>
      </c>
      <c r="N28" s="20" t="n">
        <v>297590</v>
      </c>
      <c r="O28" s="29" t="n">
        <v>0</v>
      </c>
      <c r="P28" s="20" t="n">
        <v>0</v>
      </c>
      <c r="Q28" s="30" t="n">
        <f aca="false">F28*Допущения!$B$6/(1+Допущения!$B$6)+(F28-F28*Допущения!$B$6/(1+Допущения!$B$6))*Допущения!$B$7</f>
        <v>90140.2857142857</v>
      </c>
      <c r="R28" s="30" t="n">
        <f aca="false">F28-G28-H28-I28-J28-K28-L28-M28-N28-Q28</f>
        <v>35493.7142857143</v>
      </c>
      <c r="S28" s="31" t="n">
        <f aca="false">G28/F28</f>
        <v>0.282977116093116</v>
      </c>
    </row>
    <row r="29" customFormat="false" ht="15" hidden="false" customHeight="false" outlineLevel="0" collapsed="false">
      <c r="A29" s="28" t="n">
        <v>46244</v>
      </c>
      <c r="B29" s="9" t="s">
        <v>204</v>
      </c>
      <c r="C29" s="20" t="n">
        <v>902</v>
      </c>
      <c r="D29" s="20" t="n">
        <v>763</v>
      </c>
      <c r="E29" s="20" t="n">
        <v>1045980</v>
      </c>
      <c r="F29" s="20" t="n">
        <v>851170</v>
      </c>
      <c r="G29" s="20" t="n">
        <v>240807</v>
      </c>
      <c r="H29" s="20" t="n">
        <v>86388</v>
      </c>
      <c r="I29" s="20" t="n">
        <v>16452</v>
      </c>
      <c r="J29" s="20" t="n">
        <v>9651</v>
      </c>
      <c r="K29" s="20" t="n">
        <v>3923</v>
      </c>
      <c r="L29" s="20" t="n">
        <v>2958</v>
      </c>
      <c r="M29" s="20" t="n">
        <v>81205</v>
      </c>
      <c r="N29" s="20" t="n">
        <v>293869</v>
      </c>
      <c r="O29" s="29" t="n">
        <v>0</v>
      </c>
      <c r="P29" s="20" t="n">
        <v>0</v>
      </c>
      <c r="Q29" s="30" t="n">
        <f aca="false">F29*Допущения!$B$6/(1+Допущения!$B$6)+(F29-F29*Допущения!$B$6/(1+Допущения!$B$6))*Допущения!$B$7</f>
        <v>89170.1904761905</v>
      </c>
      <c r="R29" s="30" t="n">
        <f aca="false">F29-G29-H29-I29-J29-K29-L29-M29-N29-Q29</f>
        <v>26746.8095238095</v>
      </c>
      <c r="S29" s="31" t="n">
        <f aca="false">G29/F29</f>
        <v>0.282912931611781</v>
      </c>
    </row>
    <row r="30" customFormat="false" ht="15" hidden="false" customHeight="false" outlineLevel="0" collapsed="false">
      <c r="A30" s="28" t="n">
        <v>46251</v>
      </c>
      <c r="B30" s="9" t="s">
        <v>204</v>
      </c>
      <c r="C30" s="20" t="n">
        <v>906</v>
      </c>
      <c r="D30" s="20" t="n">
        <v>758</v>
      </c>
      <c r="E30" s="20" t="n">
        <v>1047640</v>
      </c>
      <c r="F30" s="20" t="n">
        <v>844120</v>
      </c>
      <c r="G30" s="20" t="n">
        <v>238759</v>
      </c>
      <c r="H30" s="20" t="n">
        <v>87090</v>
      </c>
      <c r="I30" s="20" t="n">
        <v>16824</v>
      </c>
      <c r="J30" s="20" t="n">
        <v>9399</v>
      </c>
      <c r="K30" s="20" t="n">
        <v>714</v>
      </c>
      <c r="L30" s="20" t="n">
        <v>4796</v>
      </c>
      <c r="M30" s="20" t="n">
        <v>82675</v>
      </c>
      <c r="N30" s="20" t="n">
        <v>291033</v>
      </c>
      <c r="O30" s="29" t="n">
        <v>0</v>
      </c>
      <c r="P30" s="20" t="n">
        <v>0</v>
      </c>
      <c r="Q30" s="30" t="n">
        <f aca="false">F30*Допущения!$B$6/(1+Допущения!$B$6)+(F30-F30*Допущения!$B$6/(1+Допущения!$B$6))*Допущения!$B$7</f>
        <v>88431.619047619</v>
      </c>
      <c r="R30" s="30" t="n">
        <f aca="false">F30-G30-H30-I30-J30-K30-L30-M30-N30-Q30</f>
        <v>24398.380952381</v>
      </c>
      <c r="S30" s="31" t="n">
        <f aca="false">G30/F30</f>
        <v>0.282849594844335</v>
      </c>
    </row>
    <row r="31" customFormat="false" ht="15" hidden="false" customHeight="false" outlineLevel="0" collapsed="false">
      <c r="A31" s="28" t="n">
        <v>46258</v>
      </c>
      <c r="B31" s="9" t="s">
        <v>204</v>
      </c>
      <c r="C31" s="20" t="n">
        <v>918</v>
      </c>
      <c r="D31" s="20" t="n">
        <v>768</v>
      </c>
      <c r="E31" s="20" t="n">
        <v>1054220</v>
      </c>
      <c r="F31" s="20" t="n">
        <v>853520</v>
      </c>
      <c r="G31" s="20" t="n">
        <v>241868</v>
      </c>
      <c r="H31" s="20" t="n">
        <v>87674</v>
      </c>
      <c r="I31" s="20" t="n">
        <v>16694</v>
      </c>
      <c r="J31" s="20" t="n">
        <v>8874</v>
      </c>
      <c r="K31" s="20" t="n">
        <v>1816</v>
      </c>
      <c r="L31" s="20" t="n">
        <v>8213</v>
      </c>
      <c r="M31" s="20" t="n">
        <v>80985</v>
      </c>
      <c r="N31" s="20" t="n">
        <v>295037</v>
      </c>
      <c r="O31" s="29" t="n">
        <v>0</v>
      </c>
      <c r="P31" s="20" t="n">
        <v>0</v>
      </c>
      <c r="Q31" s="30" t="n">
        <f aca="false">F31*Допущения!$B$6/(1+Допущения!$B$6)+(F31-F31*Допущения!$B$6/(1+Допущения!$B$6))*Допущения!$B$7</f>
        <v>89416.380952381</v>
      </c>
      <c r="R31" s="30" t="n">
        <f aca="false">F31-G31-H31-I31-J31-K31-L31-M31-N31-Q31</f>
        <v>22942.6190476191</v>
      </c>
      <c r="S31" s="31" t="n">
        <f aca="false">G31/F31</f>
        <v>0.283377073765114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4DCCB"/>
    <pageSetUpPr fitToPage="false"/>
  </sheetPr>
  <dimension ref="A1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5" hidden="false" customHeight="false" outlineLevel="0" collapsed="false">
      <c r="A1" s="1" t="s">
        <v>0</v>
      </c>
    </row>
    <row r="2" customFormat="false" ht="18.55" hidden="false" customHeight="false" outlineLevel="0" collapsed="false">
      <c r="A2" s="2" t="s">
        <v>205</v>
      </c>
    </row>
    <row r="3" customFormat="false" ht="15" hidden="false" customHeight="false" outlineLevel="0" collapsed="false">
      <c r="A3" s="3" t="s">
        <v>206</v>
      </c>
    </row>
    <row r="5" customFormat="false" ht="15" hidden="false" customHeight="false" outlineLevel="0" collapsed="false">
      <c r="A5" s="32" t="s">
        <v>197</v>
      </c>
      <c r="B5" s="33" t="s">
        <v>207</v>
      </c>
    </row>
    <row r="6" customFormat="false" ht="15" hidden="false" customHeight="false" outlineLevel="0" collapsed="false">
      <c r="A6" s="32" t="s">
        <v>208</v>
      </c>
      <c r="B6" s="33" t="s">
        <v>209</v>
      </c>
    </row>
    <row r="7" customFormat="false" ht="23.85" hidden="false" customHeight="false" outlineLevel="0" collapsed="false">
      <c r="A7" s="32" t="s">
        <v>210</v>
      </c>
      <c r="B7" s="33" t="s">
        <v>211</v>
      </c>
    </row>
    <row r="8" customFormat="false" ht="15" hidden="false" customHeight="false" outlineLevel="0" collapsed="false">
      <c r="A8" s="32" t="s">
        <v>101</v>
      </c>
      <c r="B8" s="33" t="s">
        <v>212</v>
      </c>
    </row>
    <row r="9" customFormat="false" ht="15" hidden="false" customHeight="false" outlineLevel="0" collapsed="false">
      <c r="A9" s="32" t="s">
        <v>102</v>
      </c>
      <c r="B9" s="33" t="s">
        <v>213</v>
      </c>
    </row>
    <row r="10" customFormat="false" ht="15" hidden="false" customHeight="false" outlineLevel="0" collapsed="false">
      <c r="A10" s="32" t="s">
        <v>214</v>
      </c>
      <c r="B10" s="33" t="s">
        <v>215</v>
      </c>
    </row>
    <row r="11" customFormat="false" ht="15" hidden="false" customHeight="false" outlineLevel="0" collapsed="false">
      <c r="A11" s="32" t="s">
        <v>105</v>
      </c>
      <c r="B11" s="33" t="s">
        <v>216</v>
      </c>
    </row>
    <row r="12" customFormat="false" ht="15" hidden="false" customHeight="false" outlineLevel="0" collapsed="false">
      <c r="A12" s="32" t="s">
        <v>217</v>
      </c>
      <c r="B12" s="33" t="s">
        <v>218</v>
      </c>
    </row>
    <row r="13" customFormat="false" ht="15" hidden="false" customHeight="false" outlineLevel="0" collapsed="false">
      <c r="A13" s="32" t="s">
        <v>219</v>
      </c>
      <c r="B13" s="33" t="s">
        <v>220</v>
      </c>
    </row>
    <row r="14" customFormat="false" ht="15" hidden="false" customHeight="false" outlineLevel="0" collapsed="false">
      <c r="A14" s="32" t="s">
        <v>221</v>
      </c>
      <c r="B14" s="33" t="s">
        <v>222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2026-09-29T12:09:55Z</dcterms:created>
  <dc:creator>openpyxl</dc:creator>
  <dc:description/>
  <dc:language>en-US</dc:language>
  <cp:lastModifiedBy/>
  <dcterms:modified xsi:type="dcterms:W3CDTF">2026-09-29T12:09:55Z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